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<sst xmlns="http://schemas.openxmlformats.org/spreadsheetml/2006/main" count="163" uniqueCount="112">
  <si>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</si>
  <si>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</si>
  <si>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</si>
  <si>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</si>
  <si>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</si>
  <si>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</si>
  <si>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</si>
  <si>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</si>
  <si>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</si>
  <si>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</si>
  <si>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</si>
  <si>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</si>
  <si>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</si>
  <si>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</si>
  <si>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</si>
  <si>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</si>
  <si>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</si>
  <si>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</si>
  <si>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</si>
  <si>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</si>
  <si>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</si>
  <si>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</si>
  <si>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</si>
  <si>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</si>
  <si>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</si>
  <si>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</si>
  <si>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</si>
  <si>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</si>
  <si>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</si>
  <si>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</si>
  <si>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</si>
  <si>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</si>
  <si>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</si>
  <si>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</si>
  <si>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</si>
  <si>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</si>
  <si>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</si>
  <si>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</si>
  <si>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</si>
  <si>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</si>
  <si>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</si>
  <si>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</si>
  <si>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</si>
  <si>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</si>
  <si>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</si>
  <si>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</si>
  <si>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</si>
  <si>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</si>
  <si>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</si>
  <si>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</si>
  <si>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</si>
  <si>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</si>
  <si>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</si>
  <si>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</si>
  <si>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</si>
  <si>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</si>
  <si>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</si>
  <si>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</si>
  <si>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</si>
  <si>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</si>
  <si>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</si>
  <si>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</si>
  <si>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</si>
  <si>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</si>
  <si>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</si>
  <si>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</si>
  <si>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</si>
  <si>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</si>
  <si>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</si>
  <si>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</si>
  <si>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</si>
  <si>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</si>
  <si>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</si>
  <si>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</si>
  <si>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</si>
  <si>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</si>
  <si>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</si>
  <si>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</si>
  <si>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</si>
  <si>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</si>
  <si>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</si>
  <si>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</si>
  <si>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</si>
  <si>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</si>
  <si>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</si>
  <si>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</si>
  <si>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</si>
  <si>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</si>
  <si>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</si>
  <si>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</si>
  <si>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</si>
  <si>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</si>
  <si>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</si>
  <si>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</si>
  <si>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</si>
  <si>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</si>
  <si>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</si>
  <si>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</si>
  <si>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</si>
  <si>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</si>
  <si>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</si>
  <si>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</si>
  <si>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</si>
  <si>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</si>
  <si>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</si>
  <si>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</si>
  <si>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</si>
  <si>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</si>
  <si>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</si>
  <si>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</si>
  <si>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</si>
  <si>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28.11.2017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</si>
</sst>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191" fontId="12" fillId="33" borderId="0" xfId="0" applyNumberFormat="1" applyFont="1" applyFill="1" applyBorder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 wrapText="1"/>
    </xf>
    <xf numFmtId="190" fontId="13" fillId="33" borderId="12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 wrapText="1"/>
    </xf>
    <xf numFmtId="190" fontId="36" fillId="33" borderId="10" xfId="0" applyNumberFormat="1" applyFont="1" applyFill="1" applyBorder="1" applyAlignment="1">
      <alignment/>
    </xf>
    <xf numFmtId="190" fontId="36" fillId="33" borderId="17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89" fontId="37" fillId="33" borderId="10" xfId="0" applyNumberFormat="1" applyFont="1" applyFill="1" applyBorder="1" applyAlignment="1">
      <alignment/>
    </xf>
    <xf numFmtId="190" fontId="37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25"/>
          <c:w val="0.855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2620.6</c:v>
                </c:pt>
                <c:pt idx="3">
                  <c:v>8630.500000000005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126133.3</c:v>
                </c:pt>
                <c:pt idx="1">
                  <c:v>118039.8</c:v>
                </c:pt>
                <c:pt idx="2">
                  <c:v>1677.2000000000003</c:v>
                </c:pt>
                <c:pt idx="3">
                  <c:v>6416.299999999999</c:v>
                </c:pt>
              </c:numCache>
            </c:numRef>
          </c:val>
          <c:shape val="box"/>
        </c:ser>
        <c:shape val="box"/>
        <c:axId val="28832036"/>
        <c:axId val="58161733"/>
      </c:bar3D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15425.7</c:v>
                </c:pt>
                <c:pt idx="7">
                  <c:v>19710.39999999999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551581.4999999999</c:v>
                </c:pt>
                <c:pt idx="1">
                  <c:v>207885.70000000004</c:v>
                </c:pt>
                <c:pt idx="2">
                  <c:v>442560.3999999999</c:v>
                </c:pt>
                <c:pt idx="3">
                  <c:v>62</c:v>
                </c:pt>
                <c:pt idx="4">
                  <c:v>28495.9</c:v>
                </c:pt>
                <c:pt idx="5">
                  <c:v>55029.399999999994</c:v>
                </c:pt>
                <c:pt idx="6">
                  <c:v>11515.199999999995</c:v>
                </c:pt>
                <c:pt idx="7">
                  <c:v>13918.599999999993</c:v>
                </c:pt>
              </c:numCache>
            </c:numRef>
          </c:val>
          <c:shape val="box"/>
        </c:ser>
        <c:shape val="box"/>
        <c:axId val="53693550"/>
        <c:axId val="13479903"/>
      </c:bar3D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322327.1000000001</c:v>
                </c:pt>
                <c:pt idx="1">
                  <c:v>212408.6000000001</c:v>
                </c:pt>
                <c:pt idx="2">
                  <c:v>322327.1000000001</c:v>
                </c:pt>
              </c:numCache>
            </c:numRef>
          </c:val>
          <c:shape val="box"/>
        </c:ser>
        <c:shape val="box"/>
        <c:axId val="54210264"/>
        <c:axId val="18130329"/>
      </c:bar3D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8395.400000000007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53365.59999999998</c:v>
                </c:pt>
                <c:pt idx="1">
                  <c:v>44056.90000000001</c:v>
                </c:pt>
                <c:pt idx="2">
                  <c:v>1879.8</c:v>
                </c:pt>
                <c:pt idx="3">
                  <c:v>664.6999999999999</c:v>
                </c:pt>
                <c:pt idx="4">
                  <c:v>68.8</c:v>
                </c:pt>
                <c:pt idx="5">
                  <c:v>6695.399999999968</c:v>
                </c:pt>
              </c:numCache>
            </c:numRef>
          </c:val>
          <c:shape val="box"/>
        </c:ser>
        <c:shape val="box"/>
        <c:axId val="28955234"/>
        <c:axId val="59270515"/>
      </c:bar3D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19949.600000000002</c:v>
                </c:pt>
                <c:pt idx="1">
                  <c:v>12817.700000000003</c:v>
                </c:pt>
                <c:pt idx="2">
                  <c:v>4.7</c:v>
                </c:pt>
                <c:pt idx="3">
                  <c:v>637.6999999999998</c:v>
                </c:pt>
                <c:pt idx="4">
                  <c:v>626.3</c:v>
                </c:pt>
                <c:pt idx="5">
                  <c:v>440</c:v>
                </c:pt>
                <c:pt idx="6">
                  <c:v>5423.2</c:v>
                </c:pt>
              </c:numCache>
            </c:numRef>
          </c:val>
          <c:shape val="box"/>
        </c:ser>
        <c:shape val="box"/>
        <c:axId val="63672588"/>
        <c:axId val="36182381"/>
      </c:bar3D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82381"/>
        <c:crosses val="autoZero"/>
        <c:auto val="1"/>
        <c:lblOffset val="100"/>
        <c:tickLblSkip val="2"/>
        <c:noMultiLvlLbl val="0"/>
      </c:catAx>
      <c:valAx>
        <c:axId val="36182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275"/>
          <c:w val="0.8777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3741.5</c:v>
                </c:pt>
                <c:pt idx="1">
                  <c:v>2174.5000000000005</c:v>
                </c:pt>
                <c:pt idx="2">
                  <c:v>337</c:v>
                </c:pt>
                <c:pt idx="3">
                  <c:v>248.29999999999998</c:v>
                </c:pt>
                <c:pt idx="4">
                  <c:v>549</c:v>
                </c:pt>
                <c:pt idx="5">
                  <c:v>432.6999999999996</c:v>
                </c:pt>
              </c:numCache>
            </c:numRef>
          </c:val>
          <c:shape val="box"/>
        </c:ser>
        <c:shape val="box"/>
        <c:axId val="57205974"/>
        <c:axId val="45091719"/>
      </c:bar3D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55"/>
          <c:w val="0.85425"/>
          <c:h val="0.69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48613.30000000001</c:v>
                </c:pt>
              </c:numCache>
            </c:numRef>
          </c:val>
          <c:shape val="box"/>
        </c:ser>
        <c:shape val="box"/>
        <c:axId val="3172288"/>
        <c:axId val="28550593"/>
      </c:bar3D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551581.4999999999</c:v>
                </c:pt>
                <c:pt idx="1">
                  <c:v>322327.1000000001</c:v>
                </c:pt>
                <c:pt idx="2">
                  <c:v>53365.59999999998</c:v>
                </c:pt>
                <c:pt idx="3">
                  <c:v>19949.600000000002</c:v>
                </c:pt>
                <c:pt idx="4">
                  <c:v>3741.5</c:v>
                </c:pt>
                <c:pt idx="5">
                  <c:v>126133.3</c:v>
                </c:pt>
                <c:pt idx="6">
                  <c:v>48613.30000000001</c:v>
                </c:pt>
              </c:numCache>
            </c:numRef>
          </c:val>
          <c:shape val="box"/>
        </c:ser>
        <c:shape val="box"/>
        <c:axId val="55628746"/>
        <c:axId val="30896667"/>
      </c:bar3D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3425"/>
          <c:w val="0.84125"/>
          <c:h val="0.56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98857.09999999999</c:v>
                </c:pt>
                <c:pt idx="2">
                  <c:v>35620.7</c:v>
                </c:pt>
                <c:pt idx="3">
                  <c:v>26280.7</c:v>
                </c:pt>
                <c:pt idx="4">
                  <c:v>105.7</c:v>
                </c:pt>
                <c:pt idx="5">
                  <c:v>992709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630352.2999999999</c:v>
                </c:pt>
                <c:pt idx="1">
                  <c:v>69706.6</c:v>
                </c:pt>
                <c:pt idx="2">
                  <c:v>29520.7</c:v>
                </c:pt>
                <c:pt idx="3">
                  <c:v>19272.499999999996</c:v>
                </c:pt>
                <c:pt idx="4">
                  <c:v>67.5</c:v>
                </c:pt>
                <c:pt idx="5">
                  <c:v>848836.1000000003</c:v>
                </c:pt>
              </c:numCache>
            </c:numRef>
          </c:val>
          <c:shape val="box"/>
        </c:ser>
        <c:shape val="box"/>
        <c:axId val="9634548"/>
        <c:axId val="19602069"/>
      </c:bar3D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63" t="s">
        <v>111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41</v>
      </c>
      <c r="B3" s="164" t="s">
        <v>108</v>
      </c>
      <c r="C3" s="164" t="s">
        <v>90</v>
      </c>
      <c r="D3" s="164" t="s">
        <v>23</v>
      </c>
      <c r="E3" s="164" t="s">
        <v>22</v>
      </c>
      <c r="F3" s="164" t="s">
        <v>110</v>
      </c>
      <c r="G3" s="164" t="s">
        <v>92</v>
      </c>
      <c r="H3" s="164" t="s">
        <v>109</v>
      </c>
      <c r="I3" s="164" t="s">
        <v>91</v>
      </c>
    </row>
    <row r="4" spans="1:9" ht="24.75" customHeight="1">
      <c r="A4" s="168"/>
      <c r="B4" s="165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66"/>
      <c r="C5" s="166"/>
      <c r="D5" s="166"/>
      <c r="E5" s="166"/>
      <c r="F5" s="166"/>
      <c r="G5" s="166"/>
      <c r="H5" s="166"/>
      <c r="I5" s="166"/>
    </row>
    <row r="6" spans="1:9" ht="18.75" thickBot="1">
      <c r="A6" s="20" t="s">
        <v>27</v>
      </c>
      <c r="B6" s="40">
        <f>590235.2-1537.8</f>
        <v>588697.3999999999</v>
      </c>
      <c r="C6" s="41">
        <f>625865.1-190.4-316.9+47.1+50+198+5366.4+2952+4818.2+150+808.5-0.1-255.7+10077.1+331.6-3275.2</f>
        <v>646625.7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</f>
        <v>551581.4999999999</v>
      </c>
      <c r="E6" s="3">
        <f>D6/D151*100</f>
        <v>34.52226770337917</v>
      </c>
      <c r="F6" s="3">
        <f>D6/B6*100</f>
        <v>93.69524988559486</v>
      </c>
      <c r="G6" s="3">
        <f aca="true" t="shared" si="0" ref="G6:G43">D6/C6*100</f>
        <v>85.30151214218674</v>
      </c>
      <c r="H6" s="42">
        <f>B6-D6</f>
        <v>37115.90000000002</v>
      </c>
      <c r="I6" s="42">
        <f aca="true" t="shared" si="1" ref="I6:I43">C6-D6</f>
        <v>95044.20000000007</v>
      </c>
    </row>
    <row r="7" spans="1:12" s="96" customFormat="1" ht="18">
      <c r="A7" s="149" t="s">
        <v>82</v>
      </c>
      <c r="B7" s="150">
        <v>223808.1</v>
      </c>
      <c r="C7" s="151">
        <f>243287.4+47.1+202.4+2022.5</f>
        <v>245559.4</v>
      </c>
      <c r="D7" s="152">
        <f>6699.4+11261.7+10.2+8073.8+9792.3+0.1+0.8+7352+6.6+10108.4-0.1+7942.1+9848.6-0.1+7861.7+17351.9+0.1+8976.7+21107.4+3648.1+8478-0.1+422+40.1+569.1+2781.8+7228.1+78.7+0.1+7673+92.1+10319.7+9.3+8020.9+10334.5+11348.9+0.1+10447.7</f>
        <v>207885.70000000004</v>
      </c>
      <c r="E7" s="153">
        <f>D7/D6*100</f>
        <v>37.68902691623995</v>
      </c>
      <c r="F7" s="153">
        <f>D7/B7*100</f>
        <v>92.88569091109751</v>
      </c>
      <c r="G7" s="153">
        <f>D7/C7*100</f>
        <v>84.65800942663977</v>
      </c>
      <c r="H7" s="152">
        <f>B7-D7</f>
        <v>15922.399999999965</v>
      </c>
      <c r="I7" s="152">
        <f t="shared" si="1"/>
        <v>37673.69999999995</v>
      </c>
      <c r="L7" s="148"/>
    </row>
    <row r="8" spans="1:12" s="95" customFormat="1" ht="18">
      <c r="A8" s="108" t="s">
        <v>3</v>
      </c>
      <c r="B8" s="135">
        <f>465190.1-2608.1</f>
        <v>462582</v>
      </c>
      <c r="C8" s="136">
        <f>487771.7+47.1+4992.2+4503.5+174-122.1+10000+1504.6-8585.7</f>
        <v>500285.3</v>
      </c>
      <c r="D8" s="110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</f>
        <v>442560.3999999999</v>
      </c>
      <c r="E8" s="112">
        <f>D8/D6*100</f>
        <v>80.23481570719831</v>
      </c>
      <c r="F8" s="112">
        <f>D8/B8*100</f>
        <v>95.67177278839209</v>
      </c>
      <c r="G8" s="112">
        <f t="shared" si="0"/>
        <v>88.46160380886664</v>
      </c>
      <c r="H8" s="110">
        <f>B8-D8</f>
        <v>20021.600000000093</v>
      </c>
      <c r="I8" s="110">
        <f t="shared" si="1"/>
        <v>57724.90000000008</v>
      </c>
      <c r="L8" s="148"/>
    </row>
    <row r="9" spans="1:12" s="95" customFormat="1" ht="18">
      <c r="A9" s="108" t="s">
        <v>2</v>
      </c>
      <c r="B9" s="135">
        <v>90.3</v>
      </c>
      <c r="C9" s="136">
        <f>92.5-1.2</f>
        <v>91.3</v>
      </c>
      <c r="D9" s="110">
        <f>2.5+4.3+3.3+7+0.4+1.3+1.6+1.3+1.5-0.1+0.8+5.1+2.1+0.8+4.5+2.3+3.3+2.6+0.4+0.9+2.1+0.9+1.5+0.4+3.7+4.5+1.4+0.9+0.7</f>
        <v>62</v>
      </c>
      <c r="E9" s="137">
        <f>D9/D6*100</f>
        <v>0.01124040599621271</v>
      </c>
      <c r="F9" s="112">
        <f>D9/B9*100</f>
        <v>68.66002214839423</v>
      </c>
      <c r="G9" s="112">
        <f t="shared" si="0"/>
        <v>67.907995618839</v>
      </c>
      <c r="H9" s="110">
        <f aca="true" t="shared" si="2" ref="H9:H43">B9-D9</f>
        <v>28.299999999999997</v>
      </c>
      <c r="I9" s="110">
        <f t="shared" si="1"/>
        <v>29.299999999999997</v>
      </c>
      <c r="L9" s="148"/>
    </row>
    <row r="10" spans="1:12" s="95" customFormat="1" ht="18">
      <c r="A10" s="108" t="s">
        <v>1</v>
      </c>
      <c r="B10" s="135">
        <f>29092+1787.1</f>
        <v>30879.1</v>
      </c>
      <c r="C10" s="136">
        <f>27822.4-190.4-170.5+3029.3+3901.6</f>
        <v>34392.4</v>
      </c>
      <c r="D10" s="154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</f>
        <v>28495.9</v>
      </c>
      <c r="E10" s="112">
        <f>D10/D6*100</f>
        <v>5.166217503668997</v>
      </c>
      <c r="F10" s="112">
        <f aca="true" t="shared" si="3" ref="F10:F41">D10/B10*100</f>
        <v>92.28215848259828</v>
      </c>
      <c r="G10" s="112">
        <f t="shared" si="0"/>
        <v>82.85522382852025</v>
      </c>
      <c r="H10" s="110">
        <f t="shared" si="2"/>
        <v>2383.199999999997</v>
      </c>
      <c r="I10" s="110">
        <f t="shared" si="1"/>
        <v>5896.5</v>
      </c>
      <c r="L10" s="148"/>
    </row>
    <row r="11" spans="1:12" s="95" customFormat="1" ht="18">
      <c r="A11" s="108" t="s">
        <v>0</v>
      </c>
      <c r="B11" s="135">
        <v>65371.9</v>
      </c>
      <c r="C11" s="136">
        <f>80900.5-133.6-4046.3</f>
        <v>76720.59999999999</v>
      </c>
      <c r="D11" s="155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</f>
        <v>55029.399999999994</v>
      </c>
      <c r="E11" s="112">
        <f>D11/D6*100</f>
        <v>9.97665802787077</v>
      </c>
      <c r="F11" s="112">
        <f t="shared" si="3"/>
        <v>84.17898210087208</v>
      </c>
      <c r="G11" s="112">
        <f t="shared" si="0"/>
        <v>71.72701986167992</v>
      </c>
      <c r="H11" s="110">
        <f t="shared" si="2"/>
        <v>10342.500000000007</v>
      </c>
      <c r="I11" s="110">
        <f t="shared" si="1"/>
        <v>21691.199999999997</v>
      </c>
      <c r="L11" s="148"/>
    </row>
    <row r="12" spans="1:12" s="95" customFormat="1" ht="18">
      <c r="A12" s="108" t="s">
        <v>14</v>
      </c>
      <c r="B12" s="135">
        <f>12556.2-800</f>
        <v>11756.2</v>
      </c>
      <c r="C12" s="136">
        <f>14045.5-16.9-29.9-73+1500</f>
        <v>15425.7</v>
      </c>
      <c r="D12" s="110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</f>
        <v>11515.199999999995</v>
      </c>
      <c r="E12" s="112">
        <f>D12/D6*100</f>
        <v>2.0876697278643315</v>
      </c>
      <c r="F12" s="112">
        <f t="shared" si="3"/>
        <v>97.95001786291483</v>
      </c>
      <c r="G12" s="112">
        <f t="shared" si="0"/>
        <v>74.64944864738712</v>
      </c>
      <c r="H12" s="110">
        <f>B12-D12</f>
        <v>241.00000000000546</v>
      </c>
      <c r="I12" s="110">
        <f t="shared" si="1"/>
        <v>3910.5000000000055</v>
      </c>
      <c r="L12" s="148"/>
    </row>
    <row r="13" spans="1:12" s="95" customFormat="1" ht="18.75" thickBot="1">
      <c r="A13" s="108" t="s">
        <v>28</v>
      </c>
      <c r="B13" s="136">
        <f>B6-B8-B9-B10-B11-B12</f>
        <v>18017.89999999991</v>
      </c>
      <c r="C13" s="136">
        <f>C6-C8-C9-C10-C11-C12</f>
        <v>19710.39999999999</v>
      </c>
      <c r="D13" s="136">
        <f>D6-D8-D9-D10-D11-D12</f>
        <v>13918.599999999993</v>
      </c>
      <c r="E13" s="112">
        <f>D13/D6*100</f>
        <v>2.5233986274013893</v>
      </c>
      <c r="F13" s="112">
        <f t="shared" si="3"/>
        <v>77.24873597922101</v>
      </c>
      <c r="G13" s="112">
        <f t="shared" si="0"/>
        <v>70.61551262277781</v>
      </c>
      <c r="H13" s="110">
        <f t="shared" si="2"/>
        <v>4099.299999999917</v>
      </c>
      <c r="I13" s="110">
        <f t="shared" si="1"/>
        <v>5791.799999999997</v>
      </c>
      <c r="L13" s="148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f>345814.7+2823.9</f>
        <v>348638.60000000003</v>
      </c>
      <c r="C18" s="41">
        <f>329127.1+600+14307.6+200+1333.8+15842.2+1513.4+30+10000+981.3+4959</f>
        <v>378894.39999999997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</f>
        <v>322327.1000000001</v>
      </c>
      <c r="E18" s="3">
        <f>D18/D151*100</f>
        <v>20.173741204615954</v>
      </c>
      <c r="F18" s="3">
        <f>D18/B18*100</f>
        <v>92.45307318237282</v>
      </c>
      <c r="G18" s="3">
        <f t="shared" si="0"/>
        <v>85.07043123361025</v>
      </c>
      <c r="H18" s="42">
        <f>B18-D18</f>
        <v>26311.49999999994</v>
      </c>
      <c r="I18" s="42">
        <f t="shared" si="1"/>
        <v>56567.29999999987</v>
      </c>
    </row>
    <row r="19" spans="1:13" s="96" customFormat="1" ht="18">
      <c r="A19" s="149" t="s">
        <v>83</v>
      </c>
      <c r="B19" s="150">
        <v>219649.2</v>
      </c>
      <c r="C19" s="151">
        <f>238249.5+1256</f>
        <v>239505.5</v>
      </c>
      <c r="D19" s="152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+4600.9+4391+81.2+7.4+704.5+2728</f>
        <v>212408.6000000001</v>
      </c>
      <c r="E19" s="153">
        <f>D19/D18*100</f>
        <v>65.89846153177938</v>
      </c>
      <c r="F19" s="153">
        <f t="shared" si="3"/>
        <v>96.70356186136807</v>
      </c>
      <c r="G19" s="153">
        <f t="shared" si="0"/>
        <v>88.68631409299581</v>
      </c>
      <c r="H19" s="152">
        <f t="shared" si="2"/>
        <v>7240.5999999999185</v>
      </c>
      <c r="I19" s="152">
        <f t="shared" si="1"/>
        <v>27096.899999999907</v>
      </c>
      <c r="K19" s="95"/>
      <c r="L19" s="95"/>
      <c r="M19" s="95"/>
    </row>
    <row r="20" spans="1:9" s="95" customFormat="1" ht="18" hidden="1">
      <c r="A20" s="108" t="s">
        <v>5</v>
      </c>
      <c r="B20" s="135"/>
      <c r="C20" s="136"/>
      <c r="D20" s="110"/>
      <c r="E20" s="112">
        <f>D20/D18*100</f>
        <v>0</v>
      </c>
      <c r="F20" s="112" t="e">
        <f t="shared" si="3"/>
        <v>#DIV/0!</v>
      </c>
      <c r="G20" s="112" t="e">
        <f t="shared" si="0"/>
        <v>#DIV/0!</v>
      </c>
      <c r="H20" s="110">
        <f t="shared" si="2"/>
        <v>0</v>
      </c>
      <c r="I20" s="110">
        <f t="shared" si="1"/>
        <v>0</v>
      </c>
    </row>
    <row r="21" spans="1:9" s="95" customFormat="1" ht="18" hidden="1">
      <c r="A21" s="108" t="s">
        <v>2</v>
      </c>
      <c r="B21" s="135"/>
      <c r="C21" s="136"/>
      <c r="D21" s="110"/>
      <c r="E21" s="112">
        <f>D21/D18*100</f>
        <v>0</v>
      </c>
      <c r="F21" s="112" t="e">
        <f t="shared" si="3"/>
        <v>#DIV/0!</v>
      </c>
      <c r="G21" s="112" t="e">
        <f t="shared" si="0"/>
        <v>#DIV/0!</v>
      </c>
      <c r="H21" s="110">
        <f t="shared" si="2"/>
        <v>0</v>
      </c>
      <c r="I21" s="110">
        <f t="shared" si="1"/>
        <v>0</v>
      </c>
    </row>
    <row r="22" spans="1:9" s="95" customFormat="1" ht="18" hidden="1">
      <c r="A22" s="108" t="s">
        <v>1</v>
      </c>
      <c r="B22" s="135"/>
      <c r="C22" s="136"/>
      <c r="D22" s="110"/>
      <c r="E22" s="112">
        <f>D22/D18*100</f>
        <v>0</v>
      </c>
      <c r="F22" s="112" t="e">
        <f t="shared" si="3"/>
        <v>#DIV/0!</v>
      </c>
      <c r="G22" s="112" t="e">
        <f t="shared" si="0"/>
        <v>#DIV/0!</v>
      </c>
      <c r="H22" s="110">
        <f t="shared" si="2"/>
        <v>0</v>
      </c>
      <c r="I22" s="110">
        <f t="shared" si="1"/>
        <v>0</v>
      </c>
    </row>
    <row r="23" spans="1:9" s="95" customFormat="1" ht="18" hidden="1">
      <c r="A23" s="108" t="s">
        <v>0</v>
      </c>
      <c r="B23" s="135"/>
      <c r="C23" s="136"/>
      <c r="D23" s="110"/>
      <c r="E23" s="112">
        <f>D23/D18*100</f>
        <v>0</v>
      </c>
      <c r="F23" s="112" t="e">
        <f t="shared" si="3"/>
        <v>#DIV/0!</v>
      </c>
      <c r="G23" s="112" t="e">
        <f t="shared" si="0"/>
        <v>#DIV/0!</v>
      </c>
      <c r="H23" s="110">
        <f t="shared" si="2"/>
        <v>0</v>
      </c>
      <c r="I23" s="110">
        <f t="shared" si="1"/>
        <v>0</v>
      </c>
    </row>
    <row r="24" spans="1:9" s="95" customFormat="1" ht="18" hidden="1">
      <c r="A24" s="108" t="s">
        <v>14</v>
      </c>
      <c r="B24" s="135"/>
      <c r="C24" s="136"/>
      <c r="D24" s="110"/>
      <c r="E24" s="112">
        <f>D24/D18*100</f>
        <v>0</v>
      </c>
      <c r="F24" s="112" t="e">
        <f t="shared" si="3"/>
        <v>#DIV/0!</v>
      </c>
      <c r="G24" s="112" t="e">
        <f t="shared" si="0"/>
        <v>#DIV/0!</v>
      </c>
      <c r="H24" s="110">
        <f t="shared" si="2"/>
        <v>0</v>
      </c>
      <c r="I24" s="110">
        <f t="shared" si="1"/>
        <v>0</v>
      </c>
    </row>
    <row r="25" spans="1:9" s="95" customFormat="1" ht="18.75" thickBot="1">
      <c r="A25" s="108" t="s">
        <v>28</v>
      </c>
      <c r="B25" s="136">
        <f>B18</f>
        <v>348638.60000000003</v>
      </c>
      <c r="C25" s="136">
        <f>C18</f>
        <v>378894.39999999997</v>
      </c>
      <c r="D25" s="136">
        <f>D18</f>
        <v>322327.1000000001</v>
      </c>
      <c r="E25" s="112">
        <f>D25/D18*100</f>
        <v>100</v>
      </c>
      <c r="F25" s="112">
        <f t="shared" si="3"/>
        <v>92.45307318237282</v>
      </c>
      <c r="G25" s="112">
        <f t="shared" si="0"/>
        <v>85.07043123361025</v>
      </c>
      <c r="H25" s="110">
        <f t="shared" si="2"/>
        <v>26311.49999999994</v>
      </c>
      <c r="I25" s="110">
        <f t="shared" si="1"/>
        <v>56567.29999999987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f>58869.7+190-1466.1</f>
        <v>57593.6</v>
      </c>
      <c r="C33" s="41">
        <f>67303.3-3099.2+301.7+44-104+255.7+122+221-122.1+190-1810.9</f>
        <v>63301.5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</f>
        <v>53365.59999999998</v>
      </c>
      <c r="E33" s="3">
        <f>D33/D151*100</f>
        <v>3.3400350253796605</v>
      </c>
      <c r="F33" s="3">
        <f>D33/B33*100</f>
        <v>92.65890654517165</v>
      </c>
      <c r="G33" s="3">
        <f t="shared" si="0"/>
        <v>84.30384746017073</v>
      </c>
      <c r="H33" s="42">
        <f t="shared" si="2"/>
        <v>4228.000000000022</v>
      </c>
      <c r="I33" s="42">
        <f t="shared" si="1"/>
        <v>9935.900000000023</v>
      </c>
      <c r="K33" s="95"/>
    </row>
    <row r="34" spans="1:9" s="95" customFormat="1" ht="18">
      <c r="A34" s="108" t="s">
        <v>3</v>
      </c>
      <c r="B34" s="135">
        <f>48244.7-1466.1</f>
        <v>46778.6</v>
      </c>
      <c r="C34" s="136">
        <f>55535.9-3105.8+301.7+122.2+18.9-1878.9</f>
        <v>50993.99999999999</v>
      </c>
      <c r="D34" s="110">
        <f>1743.2+1833.7+1830.2+1935.3+81+1854.2+129.9+1804.7+34.4+1.5+1881.6+1967.7+0.1+1784.4+235.6+2357.6-0.1+6335.8+2919.9+53.7+142.8+686.6+728.3+0.1+8.8+87.6+495.7+1689.4+9.2+4.2+70.1+2075.5+2129.1+113+4.5+2132.8-9.1+2045.9+241.3+11.3+2514.5+90.9</f>
        <v>44056.90000000001</v>
      </c>
      <c r="E34" s="112">
        <f>D34/D33*100</f>
        <v>82.55674067189356</v>
      </c>
      <c r="F34" s="112">
        <f t="shared" si="3"/>
        <v>94.18174122355096</v>
      </c>
      <c r="G34" s="112">
        <f t="shared" si="0"/>
        <v>86.39624269521907</v>
      </c>
      <c r="H34" s="110">
        <f t="shared" si="2"/>
        <v>2721.69999999999</v>
      </c>
      <c r="I34" s="110">
        <f t="shared" si="1"/>
        <v>6937.099999999984</v>
      </c>
    </row>
    <row r="35" spans="1:9" s="95" customFormat="1" ht="18" hidden="1">
      <c r="A35" s="108" t="s">
        <v>1</v>
      </c>
      <c r="B35" s="135"/>
      <c r="C35" s="136"/>
      <c r="D35" s="110"/>
      <c r="E35" s="112">
        <f>D35/D33*100</f>
        <v>0</v>
      </c>
      <c r="F35" s="112" t="e">
        <f t="shared" si="3"/>
        <v>#DIV/0!</v>
      </c>
      <c r="G35" s="112" t="e">
        <f t="shared" si="0"/>
        <v>#DIV/0!</v>
      </c>
      <c r="H35" s="110">
        <f t="shared" si="2"/>
        <v>0</v>
      </c>
      <c r="I35" s="110">
        <f t="shared" si="1"/>
        <v>0</v>
      </c>
    </row>
    <row r="36" spans="1:9" s="95" customFormat="1" ht="18">
      <c r="A36" s="108" t="s">
        <v>0</v>
      </c>
      <c r="B36" s="135">
        <v>2587.6563300000003</v>
      </c>
      <c r="C36" s="136">
        <f>2945.3+133.6+0.3</f>
        <v>3079.2000000000003</v>
      </c>
      <c r="D36" s="110">
        <f>5.4+1.2+41.8+16.1+2.9+29.7+160.9+0.8+93.4+46.9+11.2+0.1+15.2+184.7+9.2+183.2+0.9+11.9+0.1+174+0.1+59.2+12.8+2+8.2+325.6+7.6-0.1+53.7+13.4+10.7+7.4+0.6+1.6+1.5+8.1+1.8+9.7+0.1+1+17.2-0.3+3.2+3.8+10.2+6.6+6.3+7.9+2+3.1+1.1+24.5+23.5+0.9+92.8+6.7+128.7+27</f>
        <v>1879.8</v>
      </c>
      <c r="E36" s="112">
        <f>D36/D33*100</f>
        <v>3.5224938911958277</v>
      </c>
      <c r="F36" s="112">
        <f t="shared" si="3"/>
        <v>72.6448863477941</v>
      </c>
      <c r="G36" s="112">
        <f t="shared" si="0"/>
        <v>61.04832424006234</v>
      </c>
      <c r="H36" s="110">
        <f t="shared" si="2"/>
        <v>707.8563300000003</v>
      </c>
      <c r="I36" s="110">
        <f t="shared" si="1"/>
        <v>1199.4000000000003</v>
      </c>
    </row>
    <row r="37" spans="1:12" s="96" customFormat="1" ht="18">
      <c r="A37" s="124" t="s">
        <v>7</v>
      </c>
      <c r="B37" s="146">
        <f>690.2+190</f>
        <v>880.2</v>
      </c>
      <c r="C37" s="147">
        <f>856.1-104</f>
        <v>752.1</v>
      </c>
      <c r="D37" s="115">
        <f>7.4+12.3+6.1+3.3+9.3+3.2+58.1+36.7+24.4+18.9-18.9+0.1+12+83.3+21.3+10.7+4.7+55.2+2.2+22.4+77.9+16.1+3.3+3+43.6+88+51+4.8+4.3</f>
        <v>664.6999999999999</v>
      </c>
      <c r="E37" s="119">
        <f>D37/D33*100</f>
        <v>1.2455589368432103</v>
      </c>
      <c r="F37" s="119">
        <f t="shared" si="3"/>
        <v>75.51692797091569</v>
      </c>
      <c r="G37" s="119">
        <f t="shared" si="0"/>
        <v>88.37920489296634</v>
      </c>
      <c r="H37" s="115">
        <f t="shared" si="2"/>
        <v>215.5000000000001</v>
      </c>
      <c r="I37" s="115">
        <f t="shared" si="1"/>
        <v>87.40000000000009</v>
      </c>
      <c r="L37" s="148"/>
    </row>
    <row r="38" spans="1:9" s="95" customFormat="1" ht="18">
      <c r="A38" s="108" t="s">
        <v>14</v>
      </c>
      <c r="B38" s="135">
        <v>75.7</v>
      </c>
      <c r="C38" s="136">
        <v>80.8</v>
      </c>
      <c r="D38" s="136">
        <f>5.1+5.1+5.1+5.1+5.1+3.3+40</f>
        <v>68.8</v>
      </c>
      <c r="E38" s="112">
        <f>D38/D33*100</f>
        <v>0.12892200218867592</v>
      </c>
      <c r="F38" s="112">
        <f t="shared" si="3"/>
        <v>90.88507265521795</v>
      </c>
      <c r="G38" s="112">
        <f t="shared" si="0"/>
        <v>85.14851485148515</v>
      </c>
      <c r="H38" s="110">
        <f t="shared" si="2"/>
        <v>6.900000000000006</v>
      </c>
      <c r="I38" s="110">
        <f t="shared" si="1"/>
        <v>12</v>
      </c>
    </row>
    <row r="39" spans="1:9" s="95" customFormat="1" ht="18.75" thickBot="1">
      <c r="A39" s="108" t="s">
        <v>28</v>
      </c>
      <c r="B39" s="135">
        <f>B33-B34-B36-B37-B35-B38</f>
        <v>7271.443670000001</v>
      </c>
      <c r="C39" s="135">
        <f>C33-C34-C36-C37-C35-C38</f>
        <v>8395.400000000007</v>
      </c>
      <c r="D39" s="135">
        <f>D33-D34-D36-D37-D35-D38</f>
        <v>6695.399999999968</v>
      </c>
      <c r="E39" s="112">
        <f>D39/D33*100</f>
        <v>12.546284497878728</v>
      </c>
      <c r="F39" s="112">
        <f t="shared" si="3"/>
        <v>92.07800134137555</v>
      </c>
      <c r="G39" s="112">
        <f t="shared" si="0"/>
        <v>79.750815923005</v>
      </c>
      <c r="H39" s="110">
        <f>B39-D39</f>
        <v>576.0436700000328</v>
      </c>
      <c r="I39" s="110">
        <f t="shared" si="1"/>
        <v>1700.000000000039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f>2176-90</f>
        <v>2086</v>
      </c>
      <c r="C43" s="41">
        <f>1548.6+6.6+21.9+503.3+153.3+3.3-90</f>
        <v>2147.0000000000005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</f>
        <v>1498.1000000000001</v>
      </c>
      <c r="E43" s="3">
        <f>D43/D151*100</f>
        <v>0.09376276986525536</v>
      </c>
      <c r="F43" s="3">
        <f>D43/B43*100</f>
        <v>71.81687440076703</v>
      </c>
      <c r="G43" s="3">
        <f t="shared" si="0"/>
        <v>69.77643223102002</v>
      </c>
      <c r="H43" s="42">
        <f t="shared" si="2"/>
        <v>587.8999999999999</v>
      </c>
      <c r="I43" s="42">
        <f t="shared" si="1"/>
        <v>648.9000000000003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102.9+155.5+3.1+3.7+452.3+6+17.2+314.1+59.3+95.2+2.2+579+1.9+71.6+375.2+7+7.3+568.3+0.1+96.1+326.4+4.1+518.1-0.1+350+35.2+5.1+556.7+19.5+326.2+24.6+1+691.6+365.3+4.1+585.4+328.4+3.5+1.9+509.6-0.1+18.5+0.1+311.5+518.9+25.3+320.2+4.8+8.1+758.7+371.6-0.1</f>
        <v>9912.1</v>
      </c>
      <c r="E45" s="3">
        <f>D45/D151*100</f>
        <v>0.6203764442836912</v>
      </c>
      <c r="F45" s="3">
        <f>D45/B45*100</f>
        <v>92.44396643661297</v>
      </c>
      <c r="G45" s="3">
        <f aca="true" t="shared" si="4" ref="G45:G76">D45/C45*100</f>
        <v>84.08635900916185</v>
      </c>
      <c r="H45" s="42">
        <f>B45-D45</f>
        <v>810.1790000000001</v>
      </c>
      <c r="I45" s="42">
        <f aca="true" t="shared" si="5" ref="I45:I77">C45-D45</f>
        <v>1875.8999999999996</v>
      </c>
      <c r="K45" s="95"/>
    </row>
    <row r="46" spans="1:9" s="95" customFormat="1" ht="18">
      <c r="A46" s="108" t="s">
        <v>3</v>
      </c>
      <c r="B46" s="135">
        <v>9678.196</v>
      </c>
      <c r="C46" s="136">
        <v>10529.7</v>
      </c>
      <c r="D46" s="110">
        <f>102.7+154.9+447.3+314.1+572.1+284.8+559+325.4+510.8+301.6+29.6+556.7+0.1+311.9+684.4+334.8+585.4+305.3+503.4-0.1+18+293.3+510.8+310.5+0.1+758.7+314.8</f>
        <v>9090.4</v>
      </c>
      <c r="E46" s="112">
        <f>D46/D45*100</f>
        <v>91.71013206081456</v>
      </c>
      <c r="F46" s="112">
        <f aca="true" t="shared" si="6" ref="F46:F74">D46/B46*100</f>
        <v>93.92659541096296</v>
      </c>
      <c r="G46" s="112">
        <f t="shared" si="4"/>
        <v>86.331044569171</v>
      </c>
      <c r="H46" s="110">
        <f aca="true" t="shared" si="7" ref="H46:H74">B46-D46</f>
        <v>587.7960000000003</v>
      </c>
      <c r="I46" s="110">
        <f t="shared" si="5"/>
        <v>1439.300000000001</v>
      </c>
    </row>
    <row r="47" spans="1:9" s="95" customFormat="1" ht="18">
      <c r="A47" s="108" t="s">
        <v>2</v>
      </c>
      <c r="B47" s="135">
        <v>1.38</v>
      </c>
      <c r="C47" s="136">
        <v>1.4</v>
      </c>
      <c r="D47" s="110">
        <f>0.4+0.4</f>
        <v>0.8</v>
      </c>
      <c r="E47" s="112">
        <f>D47/D45*100</f>
        <v>0.008070943594192956</v>
      </c>
      <c r="F47" s="112">
        <f t="shared" si="6"/>
        <v>57.97101449275364</v>
      </c>
      <c r="G47" s="112">
        <f t="shared" si="4"/>
        <v>57.14285714285715</v>
      </c>
      <c r="H47" s="110">
        <f t="shared" si="7"/>
        <v>0.5799999999999998</v>
      </c>
      <c r="I47" s="110">
        <f t="shared" si="5"/>
        <v>0.5999999999999999</v>
      </c>
    </row>
    <row r="48" spans="1:9" s="95" customFormat="1" ht="18">
      <c r="A48" s="108" t="s">
        <v>1</v>
      </c>
      <c r="B48" s="135">
        <v>64.352</v>
      </c>
      <c r="C48" s="136">
        <f>73.4+0.9+0.1</f>
        <v>74.4</v>
      </c>
      <c r="D48" s="110">
        <f>5.4+5.6+7.3+6+2.1+4.3+6.6+2.2+4.2+6.4</f>
        <v>50.10000000000001</v>
      </c>
      <c r="E48" s="112">
        <f>D48/D45*100</f>
        <v>0.5054428425863339</v>
      </c>
      <c r="F48" s="112">
        <f t="shared" si="6"/>
        <v>77.85305818000995</v>
      </c>
      <c r="G48" s="112">
        <f t="shared" si="4"/>
        <v>67.33870967741936</v>
      </c>
      <c r="H48" s="110">
        <f t="shared" si="7"/>
        <v>14.251999999999995</v>
      </c>
      <c r="I48" s="110">
        <f t="shared" si="5"/>
        <v>24.299999999999997</v>
      </c>
    </row>
    <row r="49" spans="1:9" s="95" customFormat="1" ht="18">
      <c r="A49" s="108" t="s">
        <v>0</v>
      </c>
      <c r="B49" s="135">
        <v>688.602</v>
      </c>
      <c r="C49" s="136">
        <v>865.1</v>
      </c>
      <c r="D49" s="110">
        <f>3.1+3.5+1+0.7+59.3+95.2+2.2+6-0.1+53.5+89.7+6.2+7.2+73.9+0.4+4+3.2+30.6+0.2+2.7+3.1+5.4+3.6+1.3+5+0.5+0.4+4.8+0.7+0.5+6.7+33.4</f>
        <v>507.8999999999999</v>
      </c>
      <c r="E49" s="112">
        <f>D49/D45*100</f>
        <v>5.124040314363252</v>
      </c>
      <c r="F49" s="112">
        <f t="shared" si="6"/>
        <v>73.75813604956127</v>
      </c>
      <c r="G49" s="112">
        <f t="shared" si="4"/>
        <v>58.709975725349665</v>
      </c>
      <c r="H49" s="110">
        <f t="shared" si="7"/>
        <v>180.70200000000006</v>
      </c>
      <c r="I49" s="110">
        <f t="shared" si="5"/>
        <v>357.2000000000001</v>
      </c>
    </row>
    <row r="50" spans="1:9" s="95" customFormat="1" ht="18.75" thickBot="1">
      <c r="A50" s="108" t="s">
        <v>28</v>
      </c>
      <c r="B50" s="136">
        <f>B45-B46-B49-B48-B47</f>
        <v>289.7490000000006</v>
      </c>
      <c r="C50" s="136">
        <f>C45-C46-C49-C48-C47</f>
        <v>317.3999999999993</v>
      </c>
      <c r="D50" s="136">
        <f>D45-D46-D49-D48-D47</f>
        <v>262.9000000000008</v>
      </c>
      <c r="E50" s="112">
        <f>D50/D45*100</f>
        <v>2.6523138386416676</v>
      </c>
      <c r="F50" s="112">
        <f t="shared" si="6"/>
        <v>90.73370399897851</v>
      </c>
      <c r="G50" s="112">
        <f t="shared" si="4"/>
        <v>82.8292375551359</v>
      </c>
      <c r="H50" s="110">
        <f t="shared" si="7"/>
        <v>26.84899999999982</v>
      </c>
      <c r="I50" s="110">
        <f t="shared" si="5"/>
        <v>54.49999999999852</v>
      </c>
    </row>
    <row r="51" spans="1:11" ht="18.75" thickBot="1">
      <c r="A51" s="20" t="s">
        <v>4</v>
      </c>
      <c r="B51" s="40">
        <f>22609.7+500</f>
        <v>23109.7</v>
      </c>
      <c r="C51" s="41">
        <f>23558.7+50+2250-940.4-1250+76.8+148+18.8+1058.7+500</f>
        <v>25470.6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</f>
        <v>19949.600000000002</v>
      </c>
      <c r="E51" s="3">
        <f>D51/D151*100</f>
        <v>1.248601397572858</v>
      </c>
      <c r="F51" s="3">
        <f>D51/B51*100</f>
        <v>86.32565546069401</v>
      </c>
      <c r="G51" s="3">
        <f t="shared" si="4"/>
        <v>78.32402848774666</v>
      </c>
      <c r="H51" s="42">
        <f>B51-D51</f>
        <v>3160.0999999999985</v>
      </c>
      <c r="I51" s="42">
        <f t="shared" si="5"/>
        <v>5520.999999999996</v>
      </c>
      <c r="K51" s="95"/>
    </row>
    <row r="52" spans="1:9" s="95" customFormat="1" ht="18">
      <c r="A52" s="108" t="s">
        <v>3</v>
      </c>
      <c r="B52" s="135">
        <v>13609.874</v>
      </c>
      <c r="C52" s="136">
        <f>16189.8-940.4</f>
        <v>15249.4</v>
      </c>
      <c r="D52" s="110">
        <f>392.4+738.8+389.6+752.9+403.1+730.4+397.8+724.9+1.1+0.1+403+795.7+527.1+1240.6+386.5+33.7+705.7+0.1+5.8+226.6+536.1+14.2+2.1+376.1+1.7+154.2+769.9+9+398.1-0.1+5.3+1.1+963.2+13.3+716.5+1.1</f>
        <v>12817.700000000003</v>
      </c>
      <c r="E52" s="112">
        <f>D52/D51*100</f>
        <v>64.25041103581025</v>
      </c>
      <c r="F52" s="112">
        <f t="shared" si="6"/>
        <v>94.17941709085626</v>
      </c>
      <c r="G52" s="112">
        <f t="shared" si="4"/>
        <v>84.05379883798709</v>
      </c>
      <c r="H52" s="110">
        <f t="shared" si="7"/>
        <v>792.1739999999972</v>
      </c>
      <c r="I52" s="110">
        <f t="shared" si="5"/>
        <v>2431.699999999997</v>
      </c>
    </row>
    <row r="53" spans="1:9" s="95" customFormat="1" ht="18">
      <c r="A53" s="108" t="s">
        <v>2</v>
      </c>
      <c r="B53" s="135">
        <v>9.75</v>
      </c>
      <c r="C53" s="136">
        <v>13</v>
      </c>
      <c r="D53" s="110">
        <f>1.6+1.4+1.7</f>
        <v>4.7</v>
      </c>
      <c r="E53" s="112">
        <f>D53/D51*100</f>
        <v>0.02355936961142078</v>
      </c>
      <c r="F53" s="112">
        <f>D53/B53*100</f>
        <v>48.205128205128204</v>
      </c>
      <c r="G53" s="112">
        <f t="shared" si="4"/>
        <v>36.15384615384615</v>
      </c>
      <c r="H53" s="110">
        <f t="shared" si="7"/>
        <v>5.05</v>
      </c>
      <c r="I53" s="110">
        <f t="shared" si="5"/>
        <v>8.3</v>
      </c>
    </row>
    <row r="54" spans="1:9" s="95" customFormat="1" ht="18">
      <c r="A54" s="108" t="s">
        <v>1</v>
      </c>
      <c r="B54" s="135">
        <f>744.5-0.2</f>
        <v>744.3</v>
      </c>
      <c r="C54" s="136">
        <v>810.2</v>
      </c>
      <c r="D54" s="110">
        <f>1.9+1.9+0.5+7.4+2.1+1.2+12.9+5.1+0.1+4.5+16.8+19.2+9.7+3.1+1.1+1.4+2.5+5.7+19.9+0.8+28.2+4+19.8+8.2+38.7+4.3+0.2+18.2+4.3+27.9+3.9+3+21+4+9.4+2.4+4.7+1.2+8.1+6.9+10.9+0.1+38.9+5.3+2.8+0.1+3+2.2+20.1+27.7+3.6+38.3+19.9+5.8+2.6+7.8+14.9+0.8+17.5-0.1+59.2+20.1</f>
        <v>637.6999999999998</v>
      </c>
      <c r="E54" s="112">
        <f>D54/D51*100</f>
        <v>3.1965553194048995</v>
      </c>
      <c r="F54" s="112">
        <f t="shared" si="6"/>
        <v>85.67781808410585</v>
      </c>
      <c r="G54" s="112">
        <f t="shared" si="4"/>
        <v>78.70896075043197</v>
      </c>
      <c r="H54" s="110">
        <f t="shared" si="7"/>
        <v>106.60000000000014</v>
      </c>
      <c r="I54" s="110">
        <f t="shared" si="5"/>
        <v>172.50000000000023</v>
      </c>
    </row>
    <row r="55" spans="1:9" s="95" customFormat="1" ht="18">
      <c r="A55" s="108" t="s">
        <v>0</v>
      </c>
      <c r="B55" s="135">
        <v>861.918</v>
      </c>
      <c r="C55" s="136">
        <f>1048.5+14.2</f>
        <v>1062.7</v>
      </c>
      <c r="D55" s="110">
        <f>0.5+0.6+7.5+73.9+2.1+51.2+20.8+16.3+5.9+0.4+16.8+14.9+10.4+71.4+0.3+1.2+1.4+16+1.2+0.1+25+43+3.8+1.3+4.1+73.9-0.2+14.3+2.8+3+2.4+0.3+0.4+1.3+1.5+2+0.6+0.5+3+1.3+1.4+2+1.4+0.2+0.3+0.2+0.6+0.1-0.1+0.5+38.9+0.3+0.6+11.4+1.9+2.3+0.2+2+13.1+4.4-0.2+28.3+19.3</f>
        <v>626.3</v>
      </c>
      <c r="E55" s="112">
        <f>D55/D51*100</f>
        <v>3.1394113165176236</v>
      </c>
      <c r="F55" s="112">
        <f t="shared" si="6"/>
        <v>72.66352483646936</v>
      </c>
      <c r="G55" s="112">
        <f t="shared" si="4"/>
        <v>58.93478874564787</v>
      </c>
      <c r="H55" s="110">
        <f t="shared" si="7"/>
        <v>235.61800000000005</v>
      </c>
      <c r="I55" s="110">
        <f t="shared" si="5"/>
        <v>436.4000000000001</v>
      </c>
    </row>
    <row r="56" spans="1:9" s="95" customFormat="1" ht="18">
      <c r="A56" s="108" t="s">
        <v>14</v>
      </c>
      <c r="B56" s="135">
        <f>469.362+500</f>
        <v>969.3620000000001</v>
      </c>
      <c r="C56" s="136">
        <f>518.9+500</f>
        <v>1018.9</v>
      </c>
      <c r="D56" s="136">
        <f>34+46+40+40+40+40+40+40+38+2+40+40</f>
        <v>440</v>
      </c>
      <c r="E56" s="112">
        <f>D56/D51*100</f>
        <v>2.205558006175562</v>
      </c>
      <c r="F56" s="112">
        <f>D56/B56*100</f>
        <v>45.39067964289914</v>
      </c>
      <c r="G56" s="112">
        <f>D56/C56*100</f>
        <v>43.18382569437629</v>
      </c>
      <c r="H56" s="110">
        <f t="shared" si="7"/>
        <v>529.3620000000001</v>
      </c>
      <c r="I56" s="110">
        <f t="shared" si="5"/>
        <v>578.9</v>
      </c>
    </row>
    <row r="57" spans="1:9" s="95" customFormat="1" ht="18.75" thickBot="1">
      <c r="A57" s="108" t="s">
        <v>28</v>
      </c>
      <c r="B57" s="136">
        <f>B51-B52-B55-B54-B53-B56</f>
        <v>6914.496000000001</v>
      </c>
      <c r="C57" s="136">
        <f>C51-C52-C55-C54-C53-C56</f>
        <v>7316.399999999998</v>
      </c>
      <c r="D57" s="136">
        <f>D51-D52-D55-D54-D53-D56</f>
        <v>5423.2</v>
      </c>
      <c r="E57" s="112">
        <f>D57/D51*100</f>
        <v>27.18450495248025</v>
      </c>
      <c r="F57" s="112">
        <f t="shared" si="6"/>
        <v>78.43232536398892</v>
      </c>
      <c r="G57" s="112">
        <f t="shared" si="4"/>
        <v>74.1238860641846</v>
      </c>
      <c r="H57" s="110">
        <f>B57-D57</f>
        <v>1491.2960000000012</v>
      </c>
      <c r="I57" s="110">
        <f>C57-D57</f>
        <v>1893.199999999998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</f>
        <v>3741.5</v>
      </c>
      <c r="E59" s="3">
        <f>D59/D151*100</f>
        <v>0.2341722204464675</v>
      </c>
      <c r="F59" s="3">
        <f>D59/B59*100</f>
        <v>86.9830853178178</v>
      </c>
      <c r="G59" s="3">
        <f t="shared" si="4"/>
        <v>77.68895348837209</v>
      </c>
      <c r="H59" s="42">
        <f>B59-D59</f>
        <v>559.9110000000001</v>
      </c>
      <c r="I59" s="42">
        <f t="shared" si="5"/>
        <v>1074.5</v>
      </c>
      <c r="K59" s="95"/>
    </row>
    <row r="60" spans="1:9" s="95" customFormat="1" ht="18">
      <c r="A60" s="108" t="s">
        <v>3</v>
      </c>
      <c r="B60" s="135">
        <v>2344.64772</v>
      </c>
      <c r="C60" s="136">
        <f>2900.3-339.6</f>
        <v>2560.7000000000003</v>
      </c>
      <c r="D60" s="110">
        <f>55.6+146.1+60.8+59.3+73.6+0.1+67.3+144.6-4.5+79.7+66.8+72.2-0.1+53+75.7+69.4+0.1+39.1+101.5+64.4+45.9+60.8+119.4+37.7+47.7+65.9+60.6-0.1+31.3+40.6+67.5+63.7+74.8+157.2+31.9+0.1+44.8</f>
        <v>2174.5000000000005</v>
      </c>
      <c r="E60" s="112">
        <f>D60/D59*100</f>
        <v>58.11840171054391</v>
      </c>
      <c r="F60" s="112">
        <f t="shared" si="6"/>
        <v>92.743143520085</v>
      </c>
      <c r="G60" s="112">
        <f t="shared" si="4"/>
        <v>84.91818643339712</v>
      </c>
      <c r="H60" s="110">
        <f t="shared" si="7"/>
        <v>170.14771999999948</v>
      </c>
      <c r="I60" s="110">
        <f t="shared" si="5"/>
        <v>386.1999999999998</v>
      </c>
    </row>
    <row r="61" spans="1:9" s="95" customFormat="1" ht="18">
      <c r="A61" s="108" t="s">
        <v>1</v>
      </c>
      <c r="B61" s="135">
        <v>343.7</v>
      </c>
      <c r="C61" s="136">
        <f>337.1+6.6</f>
        <v>343.70000000000005</v>
      </c>
      <c r="D61" s="110">
        <f>3.2+187.7+74.6+71.5</f>
        <v>337</v>
      </c>
      <c r="E61" s="112">
        <f>D61/D59*100</f>
        <v>9.00708272083389</v>
      </c>
      <c r="F61" s="112">
        <f>D61/B61*100</f>
        <v>98.0506255455339</v>
      </c>
      <c r="G61" s="112">
        <f t="shared" si="4"/>
        <v>98.05062554553389</v>
      </c>
      <c r="H61" s="110">
        <f t="shared" si="7"/>
        <v>6.699999999999989</v>
      </c>
      <c r="I61" s="110">
        <f t="shared" si="5"/>
        <v>6.7000000000000455</v>
      </c>
    </row>
    <row r="62" spans="1:9" s="95" customFormat="1" ht="18">
      <c r="A62" s="108" t="s">
        <v>0</v>
      </c>
      <c r="B62" s="135">
        <v>339.07553</v>
      </c>
      <c r="C62" s="136">
        <f>451.8-38.9</f>
        <v>412.90000000000003</v>
      </c>
      <c r="D62" s="110">
        <f>0.4+18.6+55.1+0.5+32.9+0.7+67.5+3.7+0.4+6.3+12.6+0.1+4.2+0.1+1.9+0.5+3.8+1+0.1+0.1+2.5-0.1+0.6+0.1+3.3+0.4+5.9+0.7+14.5+9.9</f>
        <v>248.29999999999998</v>
      </c>
      <c r="E62" s="112">
        <f>D62/D59*100</f>
        <v>6.6363757851129215</v>
      </c>
      <c r="F62" s="112">
        <f t="shared" si="6"/>
        <v>73.22852227053954</v>
      </c>
      <c r="G62" s="112">
        <f t="shared" si="4"/>
        <v>60.135626059578584</v>
      </c>
      <c r="H62" s="110">
        <f t="shared" si="7"/>
        <v>90.77553000000003</v>
      </c>
      <c r="I62" s="110">
        <f t="shared" si="5"/>
        <v>164.60000000000005</v>
      </c>
    </row>
    <row r="63" spans="1:9" s="95" customFormat="1" ht="18">
      <c r="A63" s="108" t="s">
        <v>14</v>
      </c>
      <c r="B63" s="135">
        <v>807.142</v>
      </c>
      <c r="C63" s="136">
        <f>3707.1-3400+500</f>
        <v>807.0999999999999</v>
      </c>
      <c r="D63" s="110">
        <f>89.8+459.2</f>
        <v>549</v>
      </c>
      <c r="E63" s="112">
        <f>D63/D59*100</f>
        <v>14.673259387946011</v>
      </c>
      <c r="F63" s="112">
        <f t="shared" si="6"/>
        <v>68.01777134630585</v>
      </c>
      <c r="G63" s="112">
        <f t="shared" si="4"/>
        <v>68.02131086606369</v>
      </c>
      <c r="H63" s="110">
        <f t="shared" si="7"/>
        <v>258.14200000000005</v>
      </c>
      <c r="I63" s="110">
        <f t="shared" si="5"/>
        <v>258.0999999999999</v>
      </c>
    </row>
    <row r="64" spans="1:9" s="95" customFormat="1" ht="18.75" thickBot="1">
      <c r="A64" s="108" t="s">
        <v>28</v>
      </c>
      <c r="B64" s="136">
        <f>B59-B60-B62-B63-B61</f>
        <v>466.84575</v>
      </c>
      <c r="C64" s="136">
        <f>C59-C60-C62-C63-C61</f>
        <v>691.5999999999997</v>
      </c>
      <c r="D64" s="136">
        <f>D59-D60-D62-D63-D61</f>
        <v>432.6999999999996</v>
      </c>
      <c r="E64" s="112">
        <f>D64/D59*100</f>
        <v>11.564880395563266</v>
      </c>
      <c r="F64" s="112">
        <f t="shared" si="6"/>
        <v>92.68586037251053</v>
      </c>
      <c r="G64" s="112">
        <f t="shared" si="4"/>
        <v>62.56506651243491</v>
      </c>
      <c r="H64" s="110">
        <f t="shared" si="7"/>
        <v>34.14575000000042</v>
      </c>
      <c r="I64" s="110">
        <f t="shared" si="5"/>
        <v>258.9000000000001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377.3</v>
      </c>
      <c r="C69" s="41">
        <f>C70+C71</f>
        <v>377.3</v>
      </c>
      <c r="D69" s="42">
        <f>SUM(D70:D71)</f>
        <v>242.39999999999998</v>
      </c>
      <c r="E69" s="30">
        <f>D69/D151*100</f>
        <v>0.015171280565608368</v>
      </c>
      <c r="F69" s="3">
        <f>D69/B69*100</f>
        <v>64.24595812350914</v>
      </c>
      <c r="G69" s="3">
        <f t="shared" si="4"/>
        <v>64.24595812350914</v>
      </c>
      <c r="H69" s="42">
        <f>B69-D69</f>
        <v>134.90000000000003</v>
      </c>
      <c r="I69" s="42">
        <f t="shared" si="5"/>
        <v>134.90000000000003</v>
      </c>
      <c r="K69" s="95"/>
    </row>
    <row r="70" spans="1:9" s="95" customFormat="1" ht="18">
      <c r="A70" s="108" t="s">
        <v>8</v>
      </c>
      <c r="B70" s="135">
        <v>287</v>
      </c>
      <c r="C70" s="136">
        <f>289-2</f>
        <v>287</v>
      </c>
      <c r="D70" s="110">
        <f>19.2+1.5+170.6+1.2+17.7+0.1+11+3+9.5-0.1+2.3-0.1</f>
        <v>235.89999999999998</v>
      </c>
      <c r="E70" s="112">
        <f>D70/D69*100</f>
        <v>97.31848184818482</v>
      </c>
      <c r="F70" s="112">
        <f t="shared" si="6"/>
        <v>82.1951219512195</v>
      </c>
      <c r="G70" s="112">
        <f t="shared" si="4"/>
        <v>82.1951219512195</v>
      </c>
      <c r="H70" s="110">
        <f t="shared" si="7"/>
        <v>51.10000000000002</v>
      </c>
      <c r="I70" s="110">
        <f t="shared" si="5"/>
        <v>51.10000000000002</v>
      </c>
    </row>
    <row r="71" spans="1:9" s="95" customFormat="1" ht="18.75" thickBot="1">
      <c r="A71" s="108" t="s">
        <v>9</v>
      </c>
      <c r="B71" s="135">
        <f>103.3-13</f>
        <v>90.3</v>
      </c>
      <c r="C71" s="136">
        <f>267.3-68.6-27.9+0.7-15-6.9-19.6-19.5-7.2-13</f>
        <v>90.3</v>
      </c>
      <c r="D71" s="110">
        <f>6.5</f>
        <v>6.5</v>
      </c>
      <c r="E71" s="112">
        <f>D71/D70*100</f>
        <v>2.7554048325561684</v>
      </c>
      <c r="F71" s="112">
        <f t="shared" si="6"/>
        <v>7.198228128460688</v>
      </c>
      <c r="G71" s="112">
        <f t="shared" si="4"/>
        <v>7.198228128460688</v>
      </c>
      <c r="H71" s="110">
        <f t="shared" si="7"/>
        <v>83.8</v>
      </c>
      <c r="I71" s="110">
        <f t="shared" si="5"/>
        <v>83.8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f>144216.9-100.4</f>
        <v>144116.5</v>
      </c>
      <c r="C90" s="41">
        <f>157960+265+0.3+29.6-699.4-2295.4+0.1-89.4</f>
        <v>155170.80000000002</v>
      </c>
      <c r="D90" s="42">
        <f>1885.4+270.9+36.9+1648.7+1618.2+708.6+2+22.6+23.3+36.4+82.9+815.8+1474.1+432.4+54.9+18.9+22+15.6+311.1+1694.5+1935.1+26.3+25.9+120.2+243.3+17.1+315.3+665.2+1876.2+71.1+29.7+42.5+5.2+78+29.4+120.4+583.5+424.3+1056.1+1600.5+1348.3+1.6+115.2+57.4+81.5+104.1+13.4+469.2+2458.4+19.3+11.7+43.2+14.5+24.7+36.9+2714.6+1422.3+73.5+89.9+1+1227.5+1388.6+65.7+40.2+39.6+25.7+4.6+117.3+27.8+253.2+3245.1+1249.1+6.8+69.3+21.8+23.3+4+47.2+982.2+4710.8+65.4+21.4+40.3+43.9+39+207.9+16+10.2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+10.8+47.5+12.2+73.8+40.8+9.2+78.7+1446.7</f>
        <v>126133.3</v>
      </c>
      <c r="E90" s="3">
        <f>D90/D151*100</f>
        <v>7.894404632698228</v>
      </c>
      <c r="F90" s="3">
        <f aca="true" t="shared" si="10" ref="F90:F96">D90/B90*100</f>
        <v>87.5217619079009</v>
      </c>
      <c r="G90" s="3">
        <f t="shared" si="8"/>
        <v>81.28674982664263</v>
      </c>
      <c r="H90" s="42">
        <f aca="true" t="shared" si="11" ref="H90:H96">B90-D90</f>
        <v>17983.199999999997</v>
      </c>
      <c r="I90" s="42">
        <f t="shared" si="9"/>
        <v>29037.500000000015</v>
      </c>
      <c r="J90" s="95"/>
      <c r="K90" s="95"/>
    </row>
    <row r="91" spans="1:9" s="95" customFormat="1" ht="18">
      <c r="A91" s="108" t="s">
        <v>3</v>
      </c>
      <c r="B91" s="135">
        <f>133674.2-170.4</f>
        <v>133503.80000000002</v>
      </c>
      <c r="C91" s="136">
        <f>148246.2-137.7-228.3-64.5-80-812.7-2843.9-159.4</f>
        <v>143919.7</v>
      </c>
      <c r="D91" s="110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+1283.8</f>
        <v>118039.8</v>
      </c>
      <c r="E91" s="112">
        <f>D91/D90*100</f>
        <v>93.58337568271028</v>
      </c>
      <c r="F91" s="112">
        <f t="shared" si="10"/>
        <v>88.41680910955343</v>
      </c>
      <c r="G91" s="112">
        <f t="shared" si="8"/>
        <v>82.01781965915715</v>
      </c>
      <c r="H91" s="110">
        <f t="shared" si="11"/>
        <v>15464.000000000015</v>
      </c>
      <c r="I91" s="110">
        <f t="shared" si="9"/>
        <v>25879.90000000001</v>
      </c>
    </row>
    <row r="92" spans="1:9" s="95" customFormat="1" ht="18">
      <c r="A92" s="108" t="s">
        <v>26</v>
      </c>
      <c r="B92" s="135">
        <v>2293.188</v>
      </c>
      <c r="C92" s="136">
        <v>2620.6</v>
      </c>
      <c r="D92" s="110">
        <f>48.5+5.1+5+1.3+22.8+67.3+62.7+3.5+1.4+40.6+112.7+571.4+55.5+1.7+2.4+3.1+83.6+0.9+1.4+3.5+0.9+23.5+44.4+1+13.6+0.7+42.8+22.3+44+0.7+4.6+0.7+0.7+13.7+56.1+1.6+31.5+0.9+63.8+4.3+0.9+0.3+18-0.1+60.5+27.6+1.9+44.7+0.9+56.3</f>
        <v>1677.2000000000003</v>
      </c>
      <c r="E92" s="112">
        <f>D92/D90*100</f>
        <v>1.329704368315108</v>
      </c>
      <c r="F92" s="112">
        <f t="shared" si="10"/>
        <v>73.13835586092375</v>
      </c>
      <c r="G92" s="112">
        <f t="shared" si="8"/>
        <v>64.00061054720294</v>
      </c>
      <c r="H92" s="110">
        <f t="shared" si="11"/>
        <v>615.9879999999998</v>
      </c>
      <c r="I92" s="110">
        <f t="shared" si="9"/>
        <v>943.3999999999996</v>
      </c>
    </row>
    <row r="93" spans="1:9" s="95" customFormat="1" ht="18" hidden="1">
      <c r="A93" s="108" t="s">
        <v>14</v>
      </c>
      <c r="B93" s="135"/>
      <c r="C93" s="136"/>
      <c r="D93" s="136"/>
      <c r="E93" s="137">
        <f>D93/D90*100</f>
        <v>0</v>
      </c>
      <c r="F93" s="112"/>
      <c r="G93" s="112" t="e">
        <f t="shared" si="8"/>
        <v>#DIV/0!</v>
      </c>
      <c r="H93" s="110">
        <f t="shared" si="11"/>
        <v>0</v>
      </c>
      <c r="I93" s="110">
        <f t="shared" si="9"/>
        <v>0</v>
      </c>
    </row>
    <row r="94" spans="1:9" s="95" customFormat="1" ht="18.75" thickBot="1">
      <c r="A94" s="108" t="s">
        <v>28</v>
      </c>
      <c r="B94" s="136">
        <f>B90-B91-B92-B93</f>
        <v>8319.511999999982</v>
      </c>
      <c r="C94" s="136">
        <f>C90-C91-C92-C93</f>
        <v>8630.500000000005</v>
      </c>
      <c r="D94" s="136">
        <f>D90-D91-D92-D93</f>
        <v>6416.299999999999</v>
      </c>
      <c r="E94" s="112">
        <f>D94/D90*100</f>
        <v>5.086919948974615</v>
      </c>
      <c r="F94" s="112">
        <f t="shared" si="10"/>
        <v>77.1235139753391</v>
      </c>
      <c r="G94" s="112">
        <f>D94/C94*100</f>
        <v>74.34447598632751</v>
      </c>
      <c r="H94" s="110">
        <f t="shared" si="11"/>
        <v>1903.2119999999832</v>
      </c>
      <c r="I94" s="110">
        <f>C94-D94</f>
        <v>2214.200000000006</v>
      </c>
    </row>
    <row r="95" spans="1:11" ht="18">
      <c r="A95" s="84" t="s">
        <v>12</v>
      </c>
      <c r="B95" s="93">
        <f>54462.8-600+643.6</f>
        <v>54506.4</v>
      </c>
      <c r="C95" s="87">
        <f>59880.5+5316.8+172.8+165-3329.3+408.2-3637.6+1814</f>
        <v>60790.4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</f>
        <v>48613.30000000001</v>
      </c>
      <c r="E95" s="83">
        <f>D95/D151*100</f>
        <v>3.0425990656769373</v>
      </c>
      <c r="F95" s="85">
        <f t="shared" si="10"/>
        <v>89.18824211468747</v>
      </c>
      <c r="G95" s="82">
        <f>D95/C95*100</f>
        <v>79.96871216507871</v>
      </c>
      <c r="H95" s="86">
        <f t="shared" si="11"/>
        <v>5893.099999999991</v>
      </c>
      <c r="I95" s="89">
        <f>C95-D95</f>
        <v>12177.099999999991</v>
      </c>
      <c r="K95" s="95"/>
    </row>
    <row r="96" spans="1:9" s="95" customFormat="1" ht="18.75" thickBot="1">
      <c r="A96" s="138" t="s">
        <v>84</v>
      </c>
      <c r="B96" s="139">
        <f>9573.5-194.8</f>
        <v>9378.7</v>
      </c>
      <c r="C96" s="140">
        <f>10660.3-133.5+11.8+210.8-0.1+588.4</f>
        <v>11337.699999999997</v>
      </c>
      <c r="D96" s="141">
        <f>69.1+1043.7+68.3+1051.8+1+68.3+66.1+938.4+3+68.7+11.3+4.3+734+67.7+6.3+0.4+21.5+2.2+658.8+0.1+17.8+71.8+130.4+525.1+460.8+17+3.6+18.3+567.4+6.6+33.7+842.6+39.7-0.1+76.9+138.3+814.3+78.3+19.7+1.5</f>
        <v>8748.7</v>
      </c>
      <c r="E96" s="142">
        <f>D96/D95*100</f>
        <v>17.9965153569085</v>
      </c>
      <c r="F96" s="143">
        <f t="shared" si="10"/>
        <v>93.28265111369379</v>
      </c>
      <c r="G96" s="144">
        <f>D96/C96*100</f>
        <v>77.16468066715474</v>
      </c>
      <c r="H96" s="145">
        <f t="shared" si="11"/>
        <v>630</v>
      </c>
      <c r="I96" s="134">
        <f>C96-D96</f>
        <v>2588.9999999999964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f>9567.4+34.6-21.5</f>
        <v>9580.5</v>
      </c>
      <c r="C102" s="72">
        <f>12999.2-348+46.7-53.7+124.7-124.6+10.7+5.1+0.1+19.5-3.3-2260.1+46.9-33.8</f>
        <v>10429.400000000003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</f>
        <v>8020.499999999994</v>
      </c>
      <c r="E102" s="17">
        <f>D102/D151*100</f>
        <v>0.5019853786157666</v>
      </c>
      <c r="F102" s="17">
        <f>D102/B102*100</f>
        <v>83.71692500391413</v>
      </c>
      <c r="G102" s="17">
        <f aca="true" t="shared" si="12" ref="G102:G149">D102/C102*100</f>
        <v>76.90279402458427</v>
      </c>
      <c r="H102" s="67">
        <f aca="true" t="shared" si="13" ref="H102:H107">B102-D102</f>
        <v>1560.0000000000064</v>
      </c>
      <c r="I102" s="67">
        <f aca="true" t="shared" si="14" ref="I102:I149">C102-D102</f>
        <v>2408.9000000000096</v>
      </c>
      <c r="K102" s="96"/>
    </row>
    <row r="103" spans="1:9" s="95" customFormat="1" ht="18.75" customHeight="1">
      <c r="A103" s="108" t="s">
        <v>3</v>
      </c>
      <c r="B103" s="127">
        <v>259.1</v>
      </c>
      <c r="C103" s="128">
        <v>259.1</v>
      </c>
      <c r="D103" s="128">
        <f>17.3+10+11+0.1+10.9+18.9+0.1+11+25.2+18.3+2.4+10.6+13.7+13.9+13.8+13+14.1+22</f>
        <v>226.29999999999998</v>
      </c>
      <c r="E103" s="129">
        <f>D103/D102*100</f>
        <v>2.8215198553706147</v>
      </c>
      <c r="F103" s="112">
        <f>D103/B103*100</f>
        <v>87.34079505982245</v>
      </c>
      <c r="G103" s="129">
        <f>D103/C103*100</f>
        <v>87.34079505982245</v>
      </c>
      <c r="H103" s="128">
        <f t="shared" si="13"/>
        <v>32.80000000000004</v>
      </c>
      <c r="I103" s="128">
        <f t="shared" si="14"/>
        <v>32.80000000000004</v>
      </c>
    </row>
    <row r="104" spans="1:9" s="95" customFormat="1" ht="18">
      <c r="A104" s="130" t="s">
        <v>49</v>
      </c>
      <c r="B104" s="109">
        <f>7553.5-11.6</f>
        <v>7541.9</v>
      </c>
      <c r="C104" s="110">
        <f>10720.8-348+46.7-56.3+125.1-124.6-51.5+5.1+21.6-3.3-2080.6-0.1-23.9</f>
        <v>8231.000000000002</v>
      </c>
      <c r="D104" s="110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+48.3+40.7+160.4</f>
        <v>6353.5999999999985</v>
      </c>
      <c r="E104" s="112">
        <f>D104/D102*100</f>
        <v>79.21700642104611</v>
      </c>
      <c r="F104" s="112">
        <f aca="true" t="shared" si="15" ref="F104:F149">D104/B104*100</f>
        <v>84.24402338933159</v>
      </c>
      <c r="G104" s="112">
        <f t="shared" si="12"/>
        <v>77.19110679139834</v>
      </c>
      <c r="H104" s="110">
        <f t="shared" si="13"/>
        <v>1188.300000000001</v>
      </c>
      <c r="I104" s="110">
        <f t="shared" si="14"/>
        <v>1877.4000000000033</v>
      </c>
    </row>
    <row r="105" spans="1:9" s="95" customFormat="1" ht="55.5" hidden="1" thickBot="1">
      <c r="A105" s="131" t="s">
        <v>80</v>
      </c>
      <c r="B105" s="132"/>
      <c r="C105" s="132"/>
      <c r="D105" s="132"/>
      <c r="E105" s="133">
        <f>D105/D102*100</f>
        <v>0</v>
      </c>
      <c r="F105" s="133" t="e">
        <f>D105/B105*100</f>
        <v>#DIV/0!</v>
      </c>
      <c r="G105" s="133" t="e">
        <f>D105/C105*100</f>
        <v>#DIV/0!</v>
      </c>
      <c r="H105" s="134">
        <f t="shared" si="13"/>
        <v>0</v>
      </c>
      <c r="I105" s="134">
        <f>C105-D105</f>
        <v>0</v>
      </c>
    </row>
    <row r="106" spans="1:9" s="95" customFormat="1" ht="18.75" thickBot="1">
      <c r="A106" s="131" t="s">
        <v>28</v>
      </c>
      <c r="B106" s="132">
        <f>B102-B103-B104</f>
        <v>1779.5</v>
      </c>
      <c r="C106" s="132">
        <f>C102-C103-C104</f>
        <v>1939.300000000001</v>
      </c>
      <c r="D106" s="132">
        <f>D102-D103-D104</f>
        <v>1440.599999999995</v>
      </c>
      <c r="E106" s="133">
        <f>D106/D102*100</f>
        <v>17.961473723583268</v>
      </c>
      <c r="F106" s="133">
        <f t="shared" si="15"/>
        <v>80.95532452936189</v>
      </c>
      <c r="G106" s="133">
        <f t="shared" si="12"/>
        <v>74.28453565719559</v>
      </c>
      <c r="H106" s="134">
        <f>B106-D106</f>
        <v>338.9000000000051</v>
      </c>
      <c r="I106" s="134">
        <f t="shared" si="14"/>
        <v>498.7000000000062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468914.2</v>
      </c>
      <c r="C107" s="69">
        <f>SUM(C108:C148)-C115-C119+C149-C140-C141-C109-C112-C122-C123-C138-C131-C129-C136</f>
        <v>518216.2</v>
      </c>
      <c r="D107" s="69">
        <f>SUM(D108:D148)-D115-D119+D149-D140-D141-D109-D112-D122-D123-D138-D131-D129-D136</f>
        <v>452370.7000000001</v>
      </c>
      <c r="E107" s="70">
        <f>D107/D151*100</f>
        <v>28.312882876900396</v>
      </c>
      <c r="F107" s="70">
        <f>D107/B107*100</f>
        <v>96.47195585034535</v>
      </c>
      <c r="G107" s="70">
        <f t="shared" si="12"/>
        <v>87.29381675061492</v>
      </c>
      <c r="H107" s="69">
        <f t="shared" si="13"/>
        <v>16543.499999999884</v>
      </c>
      <c r="I107" s="69">
        <f t="shared" si="14"/>
        <v>65845.49999999988</v>
      </c>
      <c r="L107" s="100"/>
    </row>
    <row r="108" spans="1:12" s="95" customFormat="1" ht="36.75">
      <c r="A108" s="101" t="s">
        <v>53</v>
      </c>
      <c r="B108" s="102">
        <v>3628.9</v>
      </c>
      <c r="C108" s="103">
        <v>4095.6</v>
      </c>
      <c r="D108" s="104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</f>
        <v>1892.2000000000003</v>
      </c>
      <c r="E108" s="105">
        <f>D108/D107*100</f>
        <v>0.41828526913878367</v>
      </c>
      <c r="F108" s="105">
        <f t="shared" si="15"/>
        <v>52.14252252748768</v>
      </c>
      <c r="G108" s="105">
        <f t="shared" si="12"/>
        <v>46.20080085945894</v>
      </c>
      <c r="H108" s="106">
        <f aca="true" t="shared" si="16" ref="H108:H149">B108-D108</f>
        <v>1736.6999999999998</v>
      </c>
      <c r="I108" s="106">
        <f t="shared" si="14"/>
        <v>2203.3999999999996</v>
      </c>
      <c r="L108" s="107"/>
    </row>
    <row r="109" spans="1:12" s="95" customFormat="1" ht="18">
      <c r="A109" s="108" t="s">
        <v>26</v>
      </c>
      <c r="B109" s="109">
        <f>2284.3-219.1</f>
        <v>2065.2000000000003</v>
      </c>
      <c r="C109" s="110">
        <f>2633.8-219.1</f>
        <v>2414.7000000000003</v>
      </c>
      <c r="D109" s="111">
        <f>68.3+138.7+47.8+60.9+18.1+30+81.4+40.6+14.7+2.7+31.2+33.2+49.1+0.8+32+30.3+35.6+3.1</f>
        <v>718.5000000000001</v>
      </c>
      <c r="E109" s="112">
        <f>D109/D108*100</f>
        <v>37.971673184652786</v>
      </c>
      <c r="F109" s="112">
        <f t="shared" si="15"/>
        <v>34.79081929110982</v>
      </c>
      <c r="G109" s="112">
        <f t="shared" si="12"/>
        <v>29.75524909926699</v>
      </c>
      <c r="H109" s="110">
        <f t="shared" si="16"/>
        <v>1346.7000000000003</v>
      </c>
      <c r="I109" s="110">
        <f t="shared" si="14"/>
        <v>1696.2000000000003</v>
      </c>
      <c r="L109" s="107"/>
    </row>
    <row r="110" spans="1:12" s="95" customFormat="1" ht="34.5" customHeight="1">
      <c r="A110" s="113" t="s">
        <v>79</v>
      </c>
      <c r="B110" s="114">
        <v>1087.2</v>
      </c>
      <c r="C110" s="106">
        <v>1175.4</v>
      </c>
      <c r="D110" s="104">
        <f>11.8+87.5+28+44.4+7.5+8.9+32.2+39.5+59.2+220.2+6.2+18.8+4.5+75.4+41+129.5</f>
        <v>814.6</v>
      </c>
      <c r="E110" s="105">
        <f>D110/D107*100</f>
        <v>0.18007355471961375</v>
      </c>
      <c r="F110" s="105">
        <f>D110/B110*100</f>
        <v>74.92641648270786</v>
      </c>
      <c r="G110" s="105">
        <f t="shared" si="12"/>
        <v>69.30406670069763</v>
      </c>
      <c r="H110" s="106">
        <f t="shared" si="16"/>
        <v>272.6</v>
      </c>
      <c r="I110" s="106">
        <f t="shared" si="14"/>
        <v>360.80000000000007</v>
      </c>
      <c r="L110" s="107"/>
    </row>
    <row r="111" spans="1:12" s="96" customFormat="1" ht="34.5" customHeight="1">
      <c r="A111" s="113" t="s">
        <v>97</v>
      </c>
      <c r="B111" s="114">
        <f>196.7-39</f>
        <v>157.7</v>
      </c>
      <c r="C111" s="115">
        <f>196.7-39</f>
        <v>157.7</v>
      </c>
      <c r="D111" s="116"/>
      <c r="E111" s="105">
        <f>D111/D107*100</f>
        <v>0</v>
      </c>
      <c r="F111" s="117">
        <f t="shared" si="15"/>
        <v>0</v>
      </c>
      <c r="G111" s="105">
        <f t="shared" si="12"/>
        <v>0</v>
      </c>
      <c r="H111" s="106">
        <f t="shared" si="16"/>
        <v>157.7</v>
      </c>
      <c r="I111" s="106">
        <f t="shared" si="14"/>
        <v>157.7</v>
      </c>
      <c r="L111" s="107"/>
    </row>
    <row r="112" spans="1:12" s="95" customFormat="1" ht="18" hidden="1">
      <c r="A112" s="108" t="s">
        <v>26</v>
      </c>
      <c r="B112" s="109"/>
      <c r="C112" s="110"/>
      <c r="D112" s="111"/>
      <c r="E112" s="112"/>
      <c r="F112" s="112" t="e">
        <f t="shared" si="15"/>
        <v>#DIV/0!</v>
      </c>
      <c r="G112" s="112" t="e">
        <f t="shared" si="12"/>
        <v>#DIV/0!</v>
      </c>
      <c r="H112" s="110">
        <f t="shared" si="16"/>
        <v>0</v>
      </c>
      <c r="I112" s="110">
        <f t="shared" si="14"/>
        <v>0</v>
      </c>
      <c r="L112" s="107"/>
    </row>
    <row r="113" spans="1:12" s="95" customFormat="1" ht="18">
      <c r="A113" s="113" t="s">
        <v>93</v>
      </c>
      <c r="B113" s="114">
        <v>60</v>
      </c>
      <c r="C113" s="106">
        <v>60</v>
      </c>
      <c r="D113" s="104">
        <f>9.1+9.1+9.8+2.5+3.7+4.2+3.7+0.9+11.3</f>
        <v>54.30000000000001</v>
      </c>
      <c r="E113" s="105">
        <f>D113/D107*100</f>
        <v>0.012003429930364632</v>
      </c>
      <c r="F113" s="105">
        <f t="shared" si="15"/>
        <v>90.50000000000001</v>
      </c>
      <c r="G113" s="105">
        <f t="shared" si="12"/>
        <v>90.50000000000001</v>
      </c>
      <c r="H113" s="106">
        <f t="shared" si="16"/>
        <v>5.699999999999989</v>
      </c>
      <c r="I113" s="106">
        <f t="shared" si="14"/>
        <v>5.699999999999989</v>
      </c>
      <c r="L113" s="107"/>
    </row>
    <row r="114" spans="1:12" s="95" customFormat="1" ht="36.75">
      <c r="A114" s="113" t="s">
        <v>39</v>
      </c>
      <c r="B114" s="114">
        <v>2739</v>
      </c>
      <c r="C114" s="106">
        <f>2915.4+6.2+77.9</f>
        <v>2999.5</v>
      </c>
      <c r="D114" s="104">
        <f>136.4+40+10+2+0.1+10.6+142+54.3+10.6+6.6+21.9+41.3+8.2+239.5+0.2+6.2+0.7+26.9+145.7+54.9+4+2+1.1+3.5+2.2+195.9+3.8+0.4+0.2+181.5+10+1.7+7.3+203.7+0.2+6.2+185.1+14.5+72+29.1+0.3+192.4+4.9+207.6+0.5+22.4+3.1+223.4</f>
        <v>2537.1000000000004</v>
      </c>
      <c r="E114" s="105">
        <f>D114/D107*100</f>
        <v>0.56084534210549</v>
      </c>
      <c r="F114" s="105">
        <f t="shared" si="15"/>
        <v>92.62869660460024</v>
      </c>
      <c r="G114" s="105">
        <f t="shared" si="12"/>
        <v>84.58409734955828</v>
      </c>
      <c r="H114" s="106">
        <f t="shared" si="16"/>
        <v>201.89999999999964</v>
      </c>
      <c r="I114" s="106">
        <f t="shared" si="14"/>
        <v>462.39999999999964</v>
      </c>
      <c r="L114" s="107"/>
    </row>
    <row r="115" spans="1:12" s="95" customFormat="1" ht="18" hidden="1">
      <c r="A115" s="118" t="s">
        <v>44</v>
      </c>
      <c r="B115" s="109"/>
      <c r="C115" s="110"/>
      <c r="D115" s="111"/>
      <c r="E115" s="105"/>
      <c r="F115" s="105" t="e">
        <f t="shared" si="15"/>
        <v>#DIV/0!</v>
      </c>
      <c r="G115" s="112" t="e">
        <f t="shared" si="12"/>
        <v>#DIV/0!</v>
      </c>
      <c r="H115" s="110">
        <f t="shared" si="16"/>
        <v>0</v>
      </c>
      <c r="I115" s="110">
        <f t="shared" si="14"/>
        <v>0</v>
      </c>
      <c r="L115" s="107"/>
    </row>
    <row r="116" spans="1:12" s="96" customFormat="1" ht="18.75" customHeight="1" hidden="1">
      <c r="A116" s="113" t="s">
        <v>94</v>
      </c>
      <c r="B116" s="114"/>
      <c r="C116" s="115"/>
      <c r="D116" s="116"/>
      <c r="E116" s="119">
        <f>D116/D107*100</f>
        <v>0</v>
      </c>
      <c r="F116" s="105" t="e">
        <f t="shared" si="15"/>
        <v>#DIV/0!</v>
      </c>
      <c r="G116" s="119" t="e">
        <f t="shared" si="12"/>
        <v>#DIV/0!</v>
      </c>
      <c r="H116" s="115">
        <f t="shared" si="16"/>
        <v>0</v>
      </c>
      <c r="I116" s="115">
        <f t="shared" si="14"/>
        <v>0</v>
      </c>
      <c r="L116" s="107"/>
    </row>
    <row r="117" spans="1:12" s="95" customFormat="1" ht="36.75">
      <c r="A117" s="113" t="s">
        <v>48</v>
      </c>
      <c r="B117" s="114">
        <f>199-80-70</f>
        <v>49</v>
      </c>
      <c r="C117" s="106">
        <f>99+100-80-70</f>
        <v>49</v>
      </c>
      <c r="D117" s="104">
        <f>18</f>
        <v>18</v>
      </c>
      <c r="E117" s="105">
        <f>D117/D107*100</f>
        <v>0.003979037545977225</v>
      </c>
      <c r="F117" s="105">
        <f>D117/B117*100</f>
        <v>36.734693877551024</v>
      </c>
      <c r="G117" s="105">
        <f t="shared" si="12"/>
        <v>36.734693877551024</v>
      </c>
      <c r="H117" s="106">
        <f t="shared" si="16"/>
        <v>31</v>
      </c>
      <c r="I117" s="106">
        <f t="shared" si="14"/>
        <v>31</v>
      </c>
      <c r="L117" s="107"/>
    </row>
    <row r="118" spans="1:12" s="120" customFormat="1" ht="18">
      <c r="A118" s="113" t="s">
        <v>15</v>
      </c>
      <c r="B118" s="114">
        <f>380+39+39</f>
        <v>458</v>
      </c>
      <c r="C118" s="115">
        <f>422.8+39+39</f>
        <v>500.8</v>
      </c>
      <c r="D118" s="104">
        <f>39+5+6.2+39.1+4.9+0.4+0.8+39+0.1+5.5+0.9+39+4.8+1.3+39-0.1+0.8+0.4+5+0.8+5.1+0.2+0.4+2.2+3.5+39+0.4+3+0.8+39+6+0.3-0.1+1.1+39+1.7+0.4+0.8-0.6+2.1+39</f>
        <v>415.20000000000005</v>
      </c>
      <c r="E118" s="105">
        <f>D118/D107*100</f>
        <v>0.091783132727208</v>
      </c>
      <c r="F118" s="105">
        <f t="shared" si="15"/>
        <v>90.65502183406115</v>
      </c>
      <c r="G118" s="105">
        <f t="shared" si="12"/>
        <v>82.90734824281151</v>
      </c>
      <c r="H118" s="106">
        <f t="shared" si="16"/>
        <v>42.799999999999955</v>
      </c>
      <c r="I118" s="106">
        <f t="shared" si="14"/>
        <v>85.59999999999997</v>
      </c>
      <c r="L118" s="107"/>
    </row>
    <row r="119" spans="1:12" s="121" customFormat="1" ht="18">
      <c r="A119" s="118" t="s">
        <v>44</v>
      </c>
      <c r="B119" s="109">
        <f>312.3+39</f>
        <v>351.3</v>
      </c>
      <c r="C119" s="110">
        <f>351.4+39</f>
        <v>390.4</v>
      </c>
      <c r="D119" s="111">
        <f>39+39.1+39+39.1+39+39+39+39+39</f>
        <v>351.2</v>
      </c>
      <c r="E119" s="112">
        <f>D119/D118*100</f>
        <v>84.58574181117532</v>
      </c>
      <c r="F119" s="112">
        <f t="shared" si="15"/>
        <v>99.97153430116708</v>
      </c>
      <c r="G119" s="112">
        <f t="shared" si="12"/>
        <v>89.95901639344262</v>
      </c>
      <c r="H119" s="110">
        <f t="shared" si="16"/>
        <v>0.10000000000002274</v>
      </c>
      <c r="I119" s="110">
        <f t="shared" si="14"/>
        <v>39.19999999999999</v>
      </c>
      <c r="L119" s="107"/>
    </row>
    <row r="120" spans="1:12" s="120" customFormat="1" ht="18" hidden="1">
      <c r="A120" s="113" t="s">
        <v>21</v>
      </c>
      <c r="B120" s="114"/>
      <c r="C120" s="115"/>
      <c r="D120" s="104"/>
      <c r="E120" s="105">
        <f>D120/D107*100</f>
        <v>0</v>
      </c>
      <c r="F120" s="105" t="e">
        <f t="shared" si="15"/>
        <v>#DIV/0!</v>
      </c>
      <c r="G120" s="105" t="e">
        <f t="shared" si="12"/>
        <v>#DIV/0!</v>
      </c>
      <c r="H120" s="106">
        <f t="shared" si="16"/>
        <v>0</v>
      </c>
      <c r="I120" s="106">
        <f t="shared" si="14"/>
        <v>0</v>
      </c>
      <c r="L120" s="107"/>
    </row>
    <row r="121" spans="1:12" s="120" customFormat="1" ht="21.75" customHeight="1">
      <c r="A121" s="113" t="s">
        <v>98</v>
      </c>
      <c r="B121" s="114">
        <f>520-339</f>
        <v>181</v>
      </c>
      <c r="C121" s="115">
        <f>520-339</f>
        <v>181</v>
      </c>
      <c r="D121" s="116">
        <f>49.4+11+30.6+15.4</f>
        <v>106.4</v>
      </c>
      <c r="E121" s="119">
        <f>D121/D107*100</f>
        <v>0.023520533049554267</v>
      </c>
      <c r="F121" s="105">
        <f t="shared" si="15"/>
        <v>58.78453038674033</v>
      </c>
      <c r="G121" s="105">
        <f t="shared" si="12"/>
        <v>58.78453038674033</v>
      </c>
      <c r="H121" s="106">
        <f t="shared" si="16"/>
        <v>74.6</v>
      </c>
      <c r="I121" s="106">
        <f t="shared" si="14"/>
        <v>74.6</v>
      </c>
      <c r="L121" s="107"/>
    </row>
    <row r="122" spans="1:12" s="123" customFormat="1" ht="18" hidden="1">
      <c r="A122" s="108" t="s">
        <v>81</v>
      </c>
      <c r="B122" s="109"/>
      <c r="C122" s="110"/>
      <c r="D122" s="111"/>
      <c r="E122" s="105"/>
      <c r="F122" s="122" t="e">
        <f>D122/B122*100</f>
        <v>#DIV/0!</v>
      </c>
      <c r="G122" s="112" t="e">
        <f t="shared" si="12"/>
        <v>#DIV/0!</v>
      </c>
      <c r="H122" s="110">
        <f t="shared" si="16"/>
        <v>0</v>
      </c>
      <c r="I122" s="110">
        <f t="shared" si="14"/>
        <v>0</v>
      </c>
      <c r="L122" s="107"/>
    </row>
    <row r="123" spans="1:12" s="123" customFormat="1" ht="18" hidden="1">
      <c r="A123" s="108" t="s">
        <v>50</v>
      </c>
      <c r="B123" s="109"/>
      <c r="C123" s="110"/>
      <c r="D123" s="111"/>
      <c r="E123" s="105"/>
      <c r="F123" s="112" t="e">
        <f>D123/B123*100</f>
        <v>#DIV/0!</v>
      </c>
      <c r="G123" s="112" t="e">
        <f t="shared" si="12"/>
        <v>#DIV/0!</v>
      </c>
      <c r="H123" s="110">
        <f t="shared" si="16"/>
        <v>0</v>
      </c>
      <c r="I123" s="110">
        <f t="shared" si="14"/>
        <v>0</v>
      </c>
      <c r="L123" s="107"/>
    </row>
    <row r="124" spans="1:12" s="120" customFormat="1" ht="36.75">
      <c r="A124" s="113" t="s">
        <v>99</v>
      </c>
      <c r="B124" s="114">
        <v>38352.8</v>
      </c>
      <c r="C124" s="115">
        <f>33585.8+9933.2-1212.8-350-61.4+460.5</f>
        <v>42355.299999999996</v>
      </c>
      <c r="D124" s="116">
        <f>3483.8+2635.6+1853.3+812.9+1333.3+1694.1+1722.4+661.9+934+1328+225+1781.5+1097.2+0.1+1902.6+1343+1822.5+1392+1771.1+3307.3+1386.4+2307.7+1782.5</f>
        <v>36578.2</v>
      </c>
      <c r="E124" s="119">
        <f>D124/D107*100</f>
        <v>8.085890620236896</v>
      </c>
      <c r="F124" s="105">
        <f t="shared" si="15"/>
        <v>95.37295842806782</v>
      </c>
      <c r="G124" s="105">
        <f t="shared" si="12"/>
        <v>86.36038465079932</v>
      </c>
      <c r="H124" s="106">
        <f t="shared" si="16"/>
        <v>1774.6000000000058</v>
      </c>
      <c r="I124" s="106">
        <f t="shared" si="14"/>
        <v>5777.0999999999985</v>
      </c>
      <c r="L124" s="107"/>
    </row>
    <row r="125" spans="1:12" s="120" customFormat="1" ht="18">
      <c r="A125" s="113" t="s">
        <v>95</v>
      </c>
      <c r="B125" s="114">
        <f>695-4.6</f>
        <v>690.4</v>
      </c>
      <c r="C125" s="115">
        <f>585+110-4.6</f>
        <v>690.4</v>
      </c>
      <c r="D125" s="116">
        <f>10+6+64.3+10.6</f>
        <v>90.89999999999999</v>
      </c>
      <c r="E125" s="119">
        <f>D125/D107*100</f>
        <v>0.020094139607184987</v>
      </c>
      <c r="F125" s="105">
        <f t="shared" si="15"/>
        <v>13.166280417149478</v>
      </c>
      <c r="G125" s="105">
        <f t="shared" si="12"/>
        <v>13.166280417149478</v>
      </c>
      <c r="H125" s="106">
        <f t="shared" si="16"/>
        <v>599.5</v>
      </c>
      <c r="I125" s="106">
        <f t="shared" si="14"/>
        <v>599.5</v>
      </c>
      <c r="L125" s="107"/>
    </row>
    <row r="126" spans="1:12" s="120" customFormat="1" ht="36.75">
      <c r="A126" s="113" t="s">
        <v>104</v>
      </c>
      <c r="B126" s="114">
        <v>200</v>
      </c>
      <c r="C126" s="115">
        <v>200</v>
      </c>
      <c r="D126" s="116"/>
      <c r="E126" s="119">
        <f>D126/D107*100</f>
        <v>0</v>
      </c>
      <c r="F126" s="105">
        <f t="shared" si="15"/>
        <v>0</v>
      </c>
      <c r="G126" s="105">
        <f t="shared" si="12"/>
        <v>0</v>
      </c>
      <c r="H126" s="106">
        <f t="shared" si="16"/>
        <v>200</v>
      </c>
      <c r="I126" s="106">
        <f t="shared" si="14"/>
        <v>200</v>
      </c>
      <c r="L126" s="107"/>
    </row>
    <row r="127" spans="1:12" s="120" customFormat="1" ht="36.75">
      <c r="A127" s="113" t="s">
        <v>86</v>
      </c>
      <c r="B127" s="114">
        <v>81.6</v>
      </c>
      <c r="C127" s="115">
        <v>81.6</v>
      </c>
      <c r="D127" s="116">
        <f>19.7+39.1</f>
        <v>58.8</v>
      </c>
      <c r="E127" s="119">
        <f>D127/D107*100</f>
        <v>0.012998189316858933</v>
      </c>
      <c r="F127" s="105">
        <f t="shared" si="15"/>
        <v>72.05882352941177</v>
      </c>
      <c r="G127" s="105">
        <f t="shared" si="12"/>
        <v>72.05882352941177</v>
      </c>
      <c r="H127" s="106">
        <f t="shared" si="16"/>
        <v>22.799999999999997</v>
      </c>
      <c r="I127" s="106">
        <f t="shared" si="14"/>
        <v>22.799999999999997</v>
      </c>
      <c r="L127" s="107"/>
    </row>
    <row r="128" spans="1:12" s="120" customFormat="1" ht="36.75">
      <c r="A128" s="113" t="s">
        <v>58</v>
      </c>
      <c r="B128" s="114">
        <f>1075.3-100</f>
        <v>975.3</v>
      </c>
      <c r="C128" s="115">
        <f>1253.3-100</f>
        <v>1153.3</v>
      </c>
      <c r="D128" s="116">
        <f>6.5+6.7+0.9+10.2+6.4+2.4+29+2.5+26.7+1.1+7.5+20.9+3.3+0.1+0.6+54.3+6.4+19+6.4-0.2+0.9+1+0.1+24+11.8+60.3+1.8+4+2+10.5+0.5+0.1+1.1+56.8+0.1-0.1+8.7+10.4+6.4+43.4+6.5+23.9+0.2+0.1+0.2+49.2+6.4+42.1+25.3+43.2+0.1+0.1-0.2+1.2+6.7</f>
        <v>659.5000000000001</v>
      </c>
      <c r="E128" s="119">
        <f>D128/D107*100</f>
        <v>0.14578751453177669</v>
      </c>
      <c r="F128" s="105">
        <f t="shared" si="15"/>
        <v>67.62021941966576</v>
      </c>
      <c r="G128" s="105">
        <f t="shared" si="12"/>
        <v>57.18373363392006</v>
      </c>
      <c r="H128" s="106">
        <f t="shared" si="16"/>
        <v>315.79999999999984</v>
      </c>
      <c r="I128" s="106">
        <f t="shared" si="14"/>
        <v>493.79999999999984</v>
      </c>
      <c r="L128" s="107"/>
    </row>
    <row r="129" spans="1:12" s="121" customFormat="1" ht="18">
      <c r="A129" s="108" t="s">
        <v>89</v>
      </c>
      <c r="B129" s="109">
        <v>285.6</v>
      </c>
      <c r="C129" s="110">
        <f>459.6</f>
        <v>459.6</v>
      </c>
      <c r="D129" s="111">
        <f>6.4+6.4+6.4+6.4+6.4+24+6.4+56.8+6.4+6.4+6.5+42.1+6.4+42.1+25.3+25.3</f>
        <v>279.7</v>
      </c>
      <c r="E129" s="112">
        <f>D129/D128*100</f>
        <v>42.410917361637594</v>
      </c>
      <c r="F129" s="112">
        <f>D129/B129*100</f>
        <v>97.93417366946777</v>
      </c>
      <c r="G129" s="112">
        <f t="shared" si="12"/>
        <v>60.85726718885988</v>
      </c>
      <c r="H129" s="110">
        <f t="shared" si="16"/>
        <v>5.900000000000034</v>
      </c>
      <c r="I129" s="110">
        <f t="shared" si="14"/>
        <v>179.90000000000003</v>
      </c>
      <c r="L129" s="107"/>
    </row>
    <row r="130" spans="1:12" s="120" customFormat="1" ht="36.75">
      <c r="A130" s="113" t="s">
        <v>107</v>
      </c>
      <c r="B130" s="114">
        <v>200</v>
      </c>
      <c r="C130" s="115">
        <v>200</v>
      </c>
      <c r="D130" s="116"/>
      <c r="E130" s="119">
        <f>D130/D107*100</f>
        <v>0</v>
      </c>
      <c r="F130" s="117">
        <f t="shared" si="15"/>
        <v>0</v>
      </c>
      <c r="G130" s="105">
        <f t="shared" si="12"/>
        <v>0</v>
      </c>
      <c r="H130" s="106">
        <f t="shared" si="16"/>
        <v>200</v>
      </c>
      <c r="I130" s="106">
        <f t="shared" si="14"/>
        <v>200</v>
      </c>
      <c r="L130" s="107"/>
    </row>
    <row r="131" spans="1:12" s="121" customFormat="1" ht="18" hidden="1">
      <c r="A131" s="118" t="s">
        <v>44</v>
      </c>
      <c r="B131" s="109"/>
      <c r="C131" s="110"/>
      <c r="D131" s="111"/>
      <c r="E131" s="112"/>
      <c r="F131" s="112" t="e">
        <f>D131/B131*100</f>
        <v>#DIV/0!</v>
      </c>
      <c r="G131" s="112" t="e">
        <f t="shared" si="12"/>
        <v>#DIV/0!</v>
      </c>
      <c r="H131" s="110">
        <f t="shared" si="16"/>
        <v>0</v>
      </c>
      <c r="I131" s="110">
        <f t="shared" si="14"/>
        <v>0</v>
      </c>
      <c r="L131" s="107"/>
    </row>
    <row r="132" spans="1:12" s="120" customFormat="1" ht="35.25" customHeight="1">
      <c r="A132" s="113" t="s">
        <v>106</v>
      </c>
      <c r="B132" s="114">
        <v>190</v>
      </c>
      <c r="C132" s="115">
        <v>190</v>
      </c>
      <c r="D132" s="116"/>
      <c r="E132" s="119">
        <f>D132/D107*100</f>
        <v>0</v>
      </c>
      <c r="F132" s="105">
        <f t="shared" si="15"/>
        <v>0</v>
      </c>
      <c r="G132" s="105">
        <f t="shared" si="12"/>
        <v>0</v>
      </c>
      <c r="H132" s="106">
        <f t="shared" si="16"/>
        <v>190</v>
      </c>
      <c r="I132" s="106">
        <f>C132-D132</f>
        <v>190</v>
      </c>
      <c r="L132" s="107"/>
    </row>
    <row r="133" spans="1:12" s="120" customFormat="1" ht="21.75" customHeight="1">
      <c r="A133" s="113" t="s">
        <v>105</v>
      </c>
      <c r="B133" s="114">
        <v>926.2</v>
      </c>
      <c r="C133" s="115">
        <f>1+925.2</f>
        <v>926.2</v>
      </c>
      <c r="D133" s="116">
        <f>926.2</f>
        <v>926.2</v>
      </c>
      <c r="E133" s="119">
        <f>D133/D107*100</f>
        <v>0.20474358750467253</v>
      </c>
      <c r="F133" s="105">
        <f t="shared" si="15"/>
        <v>100</v>
      </c>
      <c r="G133" s="105">
        <f t="shared" si="12"/>
        <v>100</v>
      </c>
      <c r="H133" s="106">
        <f t="shared" si="16"/>
        <v>0</v>
      </c>
      <c r="I133" s="106">
        <f t="shared" si="14"/>
        <v>0</v>
      </c>
      <c r="L133" s="107"/>
    </row>
    <row r="134" spans="1:12" s="120" customFormat="1" ht="35.25" customHeight="1">
      <c r="A134" s="113" t="s">
        <v>88</v>
      </c>
      <c r="B134" s="114">
        <v>349.1</v>
      </c>
      <c r="C134" s="115">
        <f>108.1+250</f>
        <v>358.1</v>
      </c>
      <c r="D134" s="116">
        <f>3.8+10.3+1.3+2+1.7+6.8+34.3+6.4+6.5</f>
        <v>73.10000000000001</v>
      </c>
      <c r="E134" s="119">
        <f>D134/D107*100</f>
        <v>0.0161593135894964</v>
      </c>
      <c r="F134" s="105">
        <f t="shared" si="15"/>
        <v>20.939558865654543</v>
      </c>
      <c r="G134" s="105">
        <f t="shared" si="12"/>
        <v>20.413292376431166</v>
      </c>
      <c r="H134" s="106">
        <f t="shared" si="16"/>
        <v>276</v>
      </c>
      <c r="I134" s="106">
        <f t="shared" si="14"/>
        <v>285</v>
      </c>
      <c r="L134" s="107"/>
    </row>
    <row r="135" spans="1:12" s="120" customFormat="1" ht="39" customHeight="1">
      <c r="A135" s="113" t="s">
        <v>55</v>
      </c>
      <c r="B135" s="114">
        <v>310</v>
      </c>
      <c r="C135" s="115">
        <f>626.8-200</f>
        <v>426.79999999999995</v>
      </c>
      <c r="D135" s="116">
        <f>1.2+14.1+4+6.1+23.5+26.4</f>
        <v>75.3</v>
      </c>
      <c r="E135" s="119">
        <f>D135/D107*100</f>
        <v>0.01664564040067139</v>
      </c>
      <c r="F135" s="105">
        <f t="shared" si="15"/>
        <v>24.29032258064516</v>
      </c>
      <c r="G135" s="105">
        <f t="shared" si="12"/>
        <v>17.642924086223054</v>
      </c>
      <c r="H135" s="106">
        <f t="shared" si="16"/>
        <v>234.7</v>
      </c>
      <c r="I135" s="106">
        <f t="shared" si="14"/>
        <v>351.49999999999994</v>
      </c>
      <c r="L135" s="107"/>
    </row>
    <row r="136" spans="1:12" s="121" customFormat="1" ht="18">
      <c r="A136" s="108" t="s">
        <v>89</v>
      </c>
      <c r="B136" s="109">
        <v>207.6</v>
      </c>
      <c r="C136" s="110">
        <f>400-142.4</f>
        <v>257.6</v>
      </c>
      <c r="D136" s="111">
        <f>1.2+4+6.1+23.5+26.4+5</f>
        <v>66.19999999999999</v>
      </c>
      <c r="E136" s="112"/>
      <c r="F136" s="105">
        <f>D136/B136*100</f>
        <v>31.888246628131018</v>
      </c>
      <c r="G136" s="112">
        <f>D136/C136*100</f>
        <v>25.69875776397515</v>
      </c>
      <c r="H136" s="110">
        <f>B136-D136</f>
        <v>141.4</v>
      </c>
      <c r="I136" s="110">
        <f>C136-D136</f>
        <v>191.40000000000003</v>
      </c>
      <c r="L136" s="107"/>
    </row>
    <row r="137" spans="1:12" s="120" customFormat="1" ht="36.75">
      <c r="A137" s="113" t="s">
        <v>85</v>
      </c>
      <c r="B137" s="114">
        <v>348.4</v>
      </c>
      <c r="C137" s="115">
        <v>381.2</v>
      </c>
      <c r="D137" s="116">
        <f>0.5+1.3+15.9+33.5+3+0.6+15.2+1.3+36.5+1.9+0.3+0.3+0.6+5+2+16.5+0.1+0.5+1.2+18.6-0.1+0.3+0.5+0.5+16+2+17.3+2.1+0.4+0.7+25.9+2.2+17.9+2.1+0.8+15.3+2.1+17.5+3.3+2</f>
        <v>283.6</v>
      </c>
      <c r="E137" s="119">
        <f>D137/D107*100</f>
        <v>0.06269194711328563</v>
      </c>
      <c r="F137" s="105">
        <f>D137/B137*100</f>
        <v>81.40068886337545</v>
      </c>
      <c r="G137" s="105">
        <f>D137/C137*100</f>
        <v>74.39664218258133</v>
      </c>
      <c r="H137" s="106">
        <f t="shared" si="16"/>
        <v>64.79999999999995</v>
      </c>
      <c r="I137" s="106">
        <f t="shared" si="14"/>
        <v>97.59999999999997</v>
      </c>
      <c r="L137" s="107"/>
    </row>
    <row r="138" spans="1:12" s="121" customFormat="1" ht="18">
      <c r="A138" s="108" t="s">
        <v>26</v>
      </c>
      <c r="B138" s="109">
        <v>279.6</v>
      </c>
      <c r="C138" s="110">
        <v>306.1</v>
      </c>
      <c r="D138" s="111">
        <f>15.9+33.5+15.2+36.5+0.3+4.6+16.5-0.1+1.2+16+0.3+16+0.1+16.2+0.3+25.4+16.9+0.3+14.8+17+2.7</f>
        <v>249.60000000000002</v>
      </c>
      <c r="E138" s="112">
        <f>D138/D137*100</f>
        <v>88.01128349788434</v>
      </c>
      <c r="F138" s="112">
        <f t="shared" si="15"/>
        <v>89.27038626609442</v>
      </c>
      <c r="G138" s="112">
        <f>D138/C138*100</f>
        <v>81.54197974518131</v>
      </c>
      <c r="H138" s="110">
        <f t="shared" si="16"/>
        <v>30</v>
      </c>
      <c r="I138" s="110">
        <f t="shared" si="14"/>
        <v>56.5</v>
      </c>
      <c r="L138" s="107"/>
    </row>
    <row r="139" spans="1:12" s="120" customFormat="1" ht="18">
      <c r="A139" s="113" t="s">
        <v>100</v>
      </c>
      <c r="B139" s="114">
        <v>1403.7</v>
      </c>
      <c r="C139" s="115">
        <f>1397.4+115.2</f>
        <v>1512.6000000000001</v>
      </c>
      <c r="D139" s="116">
        <f>26+59.9+0.4-0.1+0.1+27.3+5.8+57.7+6.3+46.3+13.6+50.5+6-0.1+43.3+3.1+0.2+52.2+16.7+42.4+4.7+8+55+5.3+39.2+0.5+5+82.1+95.1+0.2+73.5+79.4+74.3-0.2+13.8+17.8+27+18+79.9+50.5+8.2+5.3+54+49.6+16.1+2.6</f>
        <v>1322.4999999999995</v>
      </c>
      <c r="E139" s="119">
        <f>D139/D107*100</f>
        <v>0.29234873080860435</v>
      </c>
      <c r="F139" s="105">
        <f t="shared" si="15"/>
        <v>94.21528816698721</v>
      </c>
      <c r="G139" s="105">
        <f t="shared" si="12"/>
        <v>87.4322358852307</v>
      </c>
      <c r="H139" s="106">
        <f t="shared" si="16"/>
        <v>81.2000000000005</v>
      </c>
      <c r="I139" s="106">
        <f t="shared" si="14"/>
        <v>190.1000000000006</v>
      </c>
      <c r="L139" s="107"/>
    </row>
    <row r="140" spans="1:12" s="121" customFormat="1" ht="18">
      <c r="A140" s="118" t="s">
        <v>44</v>
      </c>
      <c r="B140" s="109">
        <v>1089.2</v>
      </c>
      <c r="C140" s="110">
        <f>1063.5+115.2</f>
        <v>1178.7</v>
      </c>
      <c r="D140" s="111">
        <f>26+59.9+27.3+57.1-0.1+46.3+42.7-0.1+36.4+51.8+8.5+28+53.1+4.3+35.3+82.1+45.8+73.5+42.3+73.9-0.1+13.8+27+76+32.8+8.2+49+34.3</f>
        <v>1035.1</v>
      </c>
      <c r="E140" s="112">
        <f>D140/D139*100</f>
        <v>78.26843100189038</v>
      </c>
      <c r="F140" s="112">
        <f aca="true" t="shared" si="17" ref="F140:F148">D140/B140*100</f>
        <v>95.03305178112375</v>
      </c>
      <c r="G140" s="112">
        <f t="shared" si="12"/>
        <v>87.81708662085347</v>
      </c>
      <c r="H140" s="110">
        <f t="shared" si="16"/>
        <v>54.100000000000136</v>
      </c>
      <c r="I140" s="110">
        <f t="shared" si="14"/>
        <v>143.60000000000014</v>
      </c>
      <c r="L140" s="107"/>
    </row>
    <row r="141" spans="1:12" s="121" customFormat="1" ht="18">
      <c r="A141" s="108" t="s">
        <v>26</v>
      </c>
      <c r="B141" s="109">
        <v>33</v>
      </c>
      <c r="C141" s="110">
        <v>37.5</v>
      </c>
      <c r="D141" s="111">
        <f>0.4+5.6+0.6+6+0.1+3.7+0.1+0.4+1+0.3+0.3+0.3+0.2-0.1+0.3+0.4+1.3</f>
        <v>20.9</v>
      </c>
      <c r="E141" s="112">
        <f>D141/D139*100</f>
        <v>1.5803402646502838</v>
      </c>
      <c r="F141" s="112">
        <f t="shared" si="17"/>
        <v>63.33333333333333</v>
      </c>
      <c r="G141" s="112">
        <f>D141/C141*100</f>
        <v>55.733333333333334</v>
      </c>
      <c r="H141" s="110">
        <f t="shared" si="16"/>
        <v>12.100000000000001</v>
      </c>
      <c r="I141" s="110">
        <f t="shared" si="14"/>
        <v>16.6</v>
      </c>
      <c r="L141" s="107"/>
    </row>
    <row r="142" spans="1:12" s="120" customFormat="1" ht="33.75" customHeight="1">
      <c r="A142" s="124" t="s">
        <v>57</v>
      </c>
      <c r="B142" s="114">
        <v>896</v>
      </c>
      <c r="C142" s="115">
        <f>200+300+1250+175-1001</f>
        <v>924</v>
      </c>
      <c r="D142" s="116">
        <f>300+200+174+176.9</f>
        <v>850.9</v>
      </c>
      <c r="E142" s="119">
        <f>D142/D107*100</f>
        <v>0.18809794710400116</v>
      </c>
      <c r="F142" s="105">
        <f t="shared" si="17"/>
        <v>94.96651785714285</v>
      </c>
      <c r="G142" s="105">
        <f t="shared" si="12"/>
        <v>92.08874458874459</v>
      </c>
      <c r="H142" s="106">
        <f t="shared" si="16"/>
        <v>45.10000000000002</v>
      </c>
      <c r="I142" s="106">
        <f t="shared" si="14"/>
        <v>73.10000000000002</v>
      </c>
      <c r="L142" s="107"/>
    </row>
    <row r="143" spans="1:12" s="120" customFormat="1" ht="18" hidden="1">
      <c r="A143" s="124" t="s">
        <v>96</v>
      </c>
      <c r="B143" s="114"/>
      <c r="C143" s="115"/>
      <c r="D143" s="116"/>
      <c r="E143" s="119">
        <f>D143/D107*100</f>
        <v>0</v>
      </c>
      <c r="F143" s="105" t="e">
        <f>D143/B143*100</f>
        <v>#DIV/0!</v>
      </c>
      <c r="G143" s="105" t="e">
        <f t="shared" si="12"/>
        <v>#DIV/0!</v>
      </c>
      <c r="H143" s="106">
        <f t="shared" si="16"/>
        <v>0</v>
      </c>
      <c r="I143" s="106">
        <f t="shared" si="14"/>
        <v>0</v>
      </c>
      <c r="L143" s="107"/>
    </row>
    <row r="144" spans="1:12" s="120" customFormat="1" ht="18">
      <c r="A144" s="124" t="s">
        <v>101</v>
      </c>
      <c r="B144" s="114">
        <f>49072.6-243</f>
        <v>48829.6</v>
      </c>
      <c r="C144" s="115">
        <f>67967+150-2500-1878-220-5896.7+475+3501.1-1013.3</f>
        <v>60585.1</v>
      </c>
      <c r="D144" s="11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</f>
        <v>41350.299999999996</v>
      </c>
      <c r="E144" s="119">
        <f>D144/D107*100</f>
        <v>9.14079979096789</v>
      </c>
      <c r="F144" s="105">
        <f t="shared" si="17"/>
        <v>84.68285630027688</v>
      </c>
      <c r="G144" s="105">
        <f t="shared" si="12"/>
        <v>68.25159981579628</v>
      </c>
      <c r="H144" s="106">
        <f t="shared" si="16"/>
        <v>7479.300000000003</v>
      </c>
      <c r="I144" s="106">
        <f t="shared" si="14"/>
        <v>19234.800000000003</v>
      </c>
      <c r="L144" s="107"/>
    </row>
    <row r="145" spans="1:12" s="120" customFormat="1" ht="18" hidden="1">
      <c r="A145" s="124" t="s">
        <v>87</v>
      </c>
      <c r="B145" s="114"/>
      <c r="C145" s="115"/>
      <c r="D145" s="116"/>
      <c r="E145" s="119">
        <f>D145/D107*100</f>
        <v>0</v>
      </c>
      <c r="F145" s="105" t="e">
        <f t="shared" si="17"/>
        <v>#DIV/0!</v>
      </c>
      <c r="G145" s="105" t="e">
        <f t="shared" si="12"/>
        <v>#DIV/0!</v>
      </c>
      <c r="H145" s="106">
        <f t="shared" si="16"/>
        <v>0</v>
      </c>
      <c r="I145" s="106">
        <f t="shared" si="14"/>
        <v>0</v>
      </c>
      <c r="L145" s="107"/>
    </row>
    <row r="146" spans="1:12" s="120" customFormat="1" ht="18">
      <c r="A146" s="113" t="s">
        <v>102</v>
      </c>
      <c r="B146" s="114">
        <v>182.1</v>
      </c>
      <c r="C146" s="115">
        <v>234</v>
      </c>
      <c r="D146" s="116">
        <f>19.2+57.2+56</f>
        <v>132.4</v>
      </c>
      <c r="E146" s="119">
        <f>D146/D107*100</f>
        <v>0.029268031727076926</v>
      </c>
      <c r="F146" s="105">
        <f t="shared" si="17"/>
        <v>72.7073036792971</v>
      </c>
      <c r="G146" s="105">
        <f t="shared" si="12"/>
        <v>56.58119658119658</v>
      </c>
      <c r="H146" s="106">
        <f t="shared" si="16"/>
        <v>49.69999999999999</v>
      </c>
      <c r="I146" s="106">
        <f t="shared" si="14"/>
        <v>101.6</v>
      </c>
      <c r="K146" s="107"/>
      <c r="L146" s="107"/>
    </row>
    <row r="147" spans="1:12" s="120" customFormat="1" ht="18.75" customHeight="1">
      <c r="A147" s="113" t="s">
        <v>78</v>
      </c>
      <c r="B147" s="114">
        <f>9142.1+905.3</f>
        <v>10047.4</v>
      </c>
      <c r="C147" s="115">
        <v>10550.8</v>
      </c>
      <c r="D147" s="116">
        <f>1601.8+39.7+92.5+565.2+121.3+853.6+638.8+424+800.9+24.5+1.5+318.7+33.7+748.2+470.6+626.9+12.3+30.7-0.1+883.3+49.6+651.7+21.2+772.1+23.2</f>
        <v>9805.900000000001</v>
      </c>
      <c r="E147" s="119">
        <f>D147/D107*100</f>
        <v>2.167669126227671</v>
      </c>
      <c r="F147" s="105">
        <f t="shared" si="17"/>
        <v>97.59639309672156</v>
      </c>
      <c r="G147" s="105">
        <f t="shared" si="12"/>
        <v>92.93987185805818</v>
      </c>
      <c r="H147" s="106">
        <f t="shared" si="16"/>
        <v>241.49999999999818</v>
      </c>
      <c r="I147" s="106">
        <f t="shared" si="14"/>
        <v>744.8999999999978</v>
      </c>
      <c r="K147" s="125"/>
      <c r="L147" s="107"/>
    </row>
    <row r="148" spans="1:12" s="120" customFormat="1" ht="19.5" customHeight="1">
      <c r="A148" s="156" t="s">
        <v>51</v>
      </c>
      <c r="B148" s="157">
        <f>329165+600+159.4-381.7</f>
        <v>329542.7</v>
      </c>
      <c r="C148" s="158">
        <f>376354.8-1000+14285.9-198-200-300-15786.4-2950-2519.8+7938.3-13756.7+0.7+204.9-2656+159.4-834.5</f>
        <v>358742.60000000003</v>
      </c>
      <c r="D148" s="159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</f>
        <v>328116.30000000016</v>
      </c>
      <c r="E148" s="160">
        <f>D148/D107*100</f>
        <v>72.53261539706266</v>
      </c>
      <c r="F148" s="161">
        <f t="shared" si="17"/>
        <v>99.56715776134631</v>
      </c>
      <c r="G148" s="161">
        <f t="shared" si="12"/>
        <v>91.46287616803806</v>
      </c>
      <c r="H148" s="162">
        <f t="shared" si="16"/>
        <v>1426.3999999998487</v>
      </c>
      <c r="I148" s="162">
        <f t="shared" si="14"/>
        <v>30626.299999999872</v>
      </c>
      <c r="K148" s="126"/>
      <c r="L148" s="107"/>
    </row>
    <row r="149" spans="1:12" s="120" customFormat="1" ht="18">
      <c r="A149" s="113" t="s">
        <v>103</v>
      </c>
      <c r="B149" s="114">
        <v>27028.1</v>
      </c>
      <c r="C149" s="115">
        <v>29485.2</v>
      </c>
      <c r="D149" s="116">
        <f>819+819+819.1+819+819+819.1+819+819+819.1+819+819+819.1+819.1+819+819+819+819.1+819+819+819+819.1+819+819+819.1+819+819+819.1+819+819+819.1+819+819</f>
        <v>26208.999999999996</v>
      </c>
      <c r="E149" s="119">
        <f>D149/D107*100</f>
        <v>5.7936997245842825</v>
      </c>
      <c r="F149" s="105">
        <f t="shared" si="15"/>
        <v>96.96945031282257</v>
      </c>
      <c r="G149" s="105">
        <f t="shared" si="12"/>
        <v>88.88866278675401</v>
      </c>
      <c r="H149" s="106">
        <f t="shared" si="16"/>
        <v>819.1000000000022</v>
      </c>
      <c r="I149" s="106">
        <f t="shared" si="14"/>
        <v>3276.2000000000044</v>
      </c>
      <c r="K149" s="125"/>
      <c r="L149" s="107"/>
    </row>
    <row r="150" spans="1:12" s="2" customFormat="1" ht="18.75" thickBot="1">
      <c r="A150" s="29" t="s">
        <v>30</v>
      </c>
      <c r="B150" s="65">
        <f>B43+B69+B72+B77+B79+B87+B102+B107+B100+B84+B98</f>
        <v>481870.9</v>
      </c>
      <c r="C150" s="65">
        <f>C43+C69+C72+C77+C79+C87+C102+C107+C100+C84+C98</f>
        <v>532082.8</v>
      </c>
      <c r="D150" s="46">
        <f>D43+D69+D72+D77+D79+D87+D102+D107+D100+D84+D98</f>
        <v>462131.7000000001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1713556.7899999998</v>
      </c>
      <c r="C151" s="42">
        <f>C6+C18+C33+C43+C51+C59+C69+C72+C77+C79+C87+C90+C95+C102+C107+C100+C84+C98+C45</f>
        <v>1878940.1999999997</v>
      </c>
      <c r="D151" s="42">
        <f>D6+D18+D33+D43+D51+D59+D69+D72+D77+D79+D87+D90+D95+D102+D107+D100+D84+D98+D45</f>
        <v>1597755.7000000002</v>
      </c>
      <c r="E151" s="28">
        <v>100</v>
      </c>
      <c r="F151" s="3">
        <f>D151/B151*100</f>
        <v>93.24206290239148</v>
      </c>
      <c r="G151" s="3">
        <f aca="true" t="shared" si="18" ref="G151:G157">D151/C151*100</f>
        <v>85.03494150585529</v>
      </c>
      <c r="H151" s="42">
        <f aca="true" t="shared" si="19" ref="H151:H157">B151-D151</f>
        <v>115801.08999999962</v>
      </c>
      <c r="I151" s="42">
        <f aca="true" t="shared" si="20" ref="I151:I157">C151-D151</f>
        <v>281184.49999999953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670196.71772</v>
      </c>
      <c r="C152" s="53">
        <f>C8+C20+C34+C52+C60+C91+C115+C119+C46+C140+C131+C103</f>
        <v>725366.9999999998</v>
      </c>
      <c r="D152" s="53">
        <f>D8+D20+D34+D52+D60+D91+D115+D119+D46+D140+D131+D103</f>
        <v>630352.2999999999</v>
      </c>
      <c r="E152" s="6">
        <f>D152/D151*100</f>
        <v>39.45235807952366</v>
      </c>
      <c r="F152" s="6">
        <f aca="true" t="shared" si="21" ref="F152:F157">D152/B152*100</f>
        <v>94.05481753841616</v>
      </c>
      <c r="G152" s="6">
        <f t="shared" si="18"/>
        <v>86.90115486367593</v>
      </c>
      <c r="H152" s="54">
        <f t="shared" si="19"/>
        <v>39844.41772000003</v>
      </c>
      <c r="I152" s="64">
        <f t="shared" si="20"/>
        <v>95014.69999999984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83898.83986000001</v>
      </c>
      <c r="C153" s="54">
        <f>C11+C23+C36+C55+C62+C92+C49+C141+C109+C112+C96+C138</f>
        <v>98857.09999999999</v>
      </c>
      <c r="D153" s="54">
        <f>D11+D23+D36+D55+D62+D92+D49+D141+D109+D112+D96+D138</f>
        <v>69706.6</v>
      </c>
      <c r="E153" s="6">
        <f>D153/D151*100</f>
        <v>4.36278211994487</v>
      </c>
      <c r="F153" s="6">
        <f t="shared" si="21"/>
        <v>83.08410475796536</v>
      </c>
      <c r="G153" s="6">
        <f t="shared" si="18"/>
        <v>70.51248721639621</v>
      </c>
      <c r="H153" s="54">
        <f t="shared" si="19"/>
        <v>14192.239860000001</v>
      </c>
      <c r="I153" s="64">
        <f t="shared" si="20"/>
        <v>29150.499999999985</v>
      </c>
      <c r="K153" s="34"/>
      <c r="L153" s="71"/>
    </row>
    <row r="154" spans="1:12" ht="18">
      <c r="A154" s="16" t="s">
        <v>1</v>
      </c>
      <c r="B154" s="53">
        <f>B22+B10+B54+B48+B61+B35+B123</f>
        <v>32031.451999999997</v>
      </c>
      <c r="C154" s="53">
        <f>C22+C10+C54+C48+C61+C35+C123</f>
        <v>35620.7</v>
      </c>
      <c r="D154" s="53">
        <f>D22+D10+D54+D48+D61+D35+D123</f>
        <v>29520.7</v>
      </c>
      <c r="E154" s="6">
        <f>D154/D151*100</f>
        <v>1.8476354050872734</v>
      </c>
      <c r="F154" s="6">
        <f t="shared" si="21"/>
        <v>92.161604163308</v>
      </c>
      <c r="G154" s="6">
        <f t="shared" si="18"/>
        <v>82.87512598011831</v>
      </c>
      <c r="H154" s="54">
        <f t="shared" si="19"/>
        <v>2510.7519999999968</v>
      </c>
      <c r="I154" s="64">
        <f t="shared" si="20"/>
        <v>6099.999999999996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21643.503999999997</v>
      </c>
      <c r="C155" s="53">
        <f>C12+C24+C104+C63+C38+C93+C129+C56+C136</f>
        <v>26280.7</v>
      </c>
      <c r="D155" s="53">
        <f>D12+D24+D104+D63+D38+D93+D129+D56+D136</f>
        <v>19272.499999999996</v>
      </c>
      <c r="E155" s="6">
        <f>D155/D151*100</f>
        <v>1.206223204210756</v>
      </c>
      <c r="F155" s="6">
        <f t="shared" si="21"/>
        <v>89.04519342154579</v>
      </c>
      <c r="G155" s="6">
        <f t="shared" si="18"/>
        <v>73.33328259901751</v>
      </c>
      <c r="H155" s="54">
        <f>B155-D155</f>
        <v>2371.004000000001</v>
      </c>
      <c r="I155" s="64">
        <f t="shared" si="20"/>
        <v>7008.200000000004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67.5</v>
      </c>
      <c r="E156" s="6">
        <f>D156/D151*100</f>
        <v>0.004224675900076589</v>
      </c>
      <c r="F156" s="6">
        <f t="shared" si="21"/>
        <v>66.54835847382432</v>
      </c>
      <c r="G156" s="6">
        <f t="shared" si="18"/>
        <v>63.85998107852412</v>
      </c>
      <c r="H156" s="54">
        <f t="shared" si="19"/>
        <v>33.92999999999999</v>
      </c>
      <c r="I156" s="64">
        <f t="shared" si="20"/>
        <v>38.2</v>
      </c>
      <c r="K156" s="34"/>
      <c r="L156" s="35"/>
    </row>
    <row r="157" spans="1:12" ht="18.75" thickBot="1">
      <c r="A157" s="90" t="s">
        <v>28</v>
      </c>
      <c r="B157" s="66">
        <f>B151-B152-B153-B154-B155-B156</f>
        <v>905684.8464199997</v>
      </c>
      <c r="C157" s="66">
        <f>C151-C152-C153-C154-C155-C156</f>
        <v>992709</v>
      </c>
      <c r="D157" s="66">
        <f>D151-D152-D153-D154-D155-D156</f>
        <v>848836.1000000003</v>
      </c>
      <c r="E157" s="31">
        <f>D157/D151*100</f>
        <v>53.12677651533336</v>
      </c>
      <c r="F157" s="31">
        <f t="shared" si="21"/>
        <v>93.72312050436621</v>
      </c>
      <c r="G157" s="31">
        <f t="shared" si="18"/>
        <v>85.50704184207056</v>
      </c>
      <c r="H157" s="91">
        <f t="shared" si="19"/>
        <v>56848.7464199994</v>
      </c>
      <c r="I157" s="91">
        <f t="shared" si="20"/>
        <v>143872.89999999967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99"/>
    </row>
    <row r="160" spans="7:11" ht="12.75">
      <c r="G160" s="18"/>
      <c r="H160" s="18"/>
      <c r="K160" s="99"/>
    </row>
    <row r="161" spans="7:11" ht="12.75">
      <c r="G161" s="18"/>
      <c r="H161" s="18"/>
      <c r="K161" s="99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1878940.1999999997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1597755.7000000002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1878940.1999999997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1597755.7000000002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2017-11-17T09:40:52Z</cp:lastPrinted>
  <dcterms:created xsi:type="dcterms:W3CDTF">2000-06-20T04:48:00Z</dcterms:created>
  <dcterms:modified xsi:type="dcterms:W3CDTF">2017-11-28T05:47:59Z</dcterms:modified>
  <cp:category/>
  <cp:version/>
  <cp:contentType/>
  <cp:contentStatus/>
</cp:coreProperties>
</file>